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4. Abril 2021\"/>
    </mc:Choice>
  </mc:AlternateContent>
  <bookViews>
    <workbookView xWindow="-120" yWindow="-120" windowWidth="20736" windowHeight="11160" tabRatio="845" activeTab="2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71027"/>
</workbook>
</file>

<file path=xl/calcChain.xml><?xml version="1.0" encoding="utf-8"?>
<calcChain xmlns="http://schemas.openxmlformats.org/spreadsheetml/2006/main">
  <c r="AK335" i="5" l="1"/>
  <c r="P332" i="76"/>
  <c r="AK334" i="5"/>
  <c r="AK333" i="5"/>
  <c r="AK332" i="5"/>
  <c r="O330" i="76"/>
  <c r="O331" i="76" s="1"/>
  <c r="O332" i="76" s="1"/>
  <c r="O333" i="76" s="1"/>
  <c r="O334" i="76" s="1"/>
  <c r="O335" i="76" s="1"/>
  <c r="O336" i="76" s="1"/>
  <c r="O337" i="76" s="1"/>
  <c r="O338" i="76" s="1"/>
  <c r="O339" i="76" s="1"/>
  <c r="O340" i="76" s="1"/>
  <c r="AJ333" i="5"/>
  <c r="AJ334" i="5" s="1"/>
  <c r="AJ335" i="5" s="1"/>
  <c r="AJ336" i="5" s="1"/>
  <c r="AJ337" i="5" s="1"/>
  <c r="AJ338" i="5" s="1"/>
  <c r="AJ339" i="5" s="1"/>
  <c r="AJ340" i="5" s="1"/>
  <c r="AJ341" i="5" s="1"/>
  <c r="AJ342" i="5" s="1"/>
  <c r="AJ343" i="5" s="1"/>
  <c r="P331" i="76" l="1"/>
  <c r="P330" i="76"/>
  <c r="P329" i="76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P280" i="76" s="1"/>
  <c r="N278" i="76"/>
  <c r="P278" i="76" s="1"/>
  <c r="AI281" i="5"/>
  <c r="N277" i="76"/>
  <c r="AI280" i="5"/>
  <c r="AI282" i="5"/>
  <c r="AK283" i="5" s="1"/>
  <c r="AI283" i="5"/>
  <c r="N276" i="76"/>
  <c r="AI279" i="5"/>
  <c r="AK279" i="5" s="1"/>
  <c r="N275" i="76"/>
  <c r="P276" i="76" s="1"/>
  <c r="AI272" i="5"/>
  <c r="AI278" i="5"/>
  <c r="N274" i="76"/>
  <c r="AI277" i="5"/>
  <c r="AI276" i="5"/>
  <c r="N273" i="76"/>
  <c r="AI275" i="5"/>
  <c r="N272" i="76"/>
  <c r="N271" i="76"/>
  <c r="AI274" i="5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AK274" i="5" s="1"/>
  <c r="N269" i="76"/>
  <c r="S271" i="5"/>
  <c r="AI271" i="5"/>
  <c r="AK271" i="5" s="1"/>
  <c r="N257" i="76"/>
  <c r="N268" i="76"/>
  <c r="AI270" i="5"/>
  <c r="N267" i="76"/>
  <c r="AI269" i="5"/>
  <c r="AK269" i="5" s="1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AK267" i="5" s="1"/>
  <c r="N264" i="76"/>
  <c r="P265" i="76" s="1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AI266" i="5"/>
  <c r="AK266" i="5" s="1"/>
  <c r="N262" i="76"/>
  <c r="AI265" i="5"/>
  <c r="AK265" i="5"/>
  <c r="N261" i="76"/>
  <c r="AI264" i="5"/>
  <c r="N260" i="76"/>
  <c r="AI263" i="5"/>
  <c r="AK263" i="5" s="1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N259" i="76"/>
  <c r="P260" i="76" s="1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K261" i="5" s="1"/>
  <c r="AI260" i="5"/>
  <c r="O245" i="76"/>
  <c r="O246" i="76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P256" i="76" s="1"/>
  <c r="N255" i="76"/>
  <c r="AI258" i="5"/>
  <c r="AI259" i="5"/>
  <c r="AK259" i="5" s="1"/>
  <c r="N254" i="76"/>
  <c r="S257" i="5"/>
  <c r="AI257" i="5"/>
  <c r="N253" i="76"/>
  <c r="P254" i="76" s="1"/>
  <c r="S256" i="5"/>
  <c r="AI256" i="5" s="1"/>
  <c r="N251" i="76"/>
  <c r="N252" i="76"/>
  <c r="P252" i="76" s="1"/>
  <c r="AI255" i="5"/>
  <c r="AI254" i="5"/>
  <c r="N250" i="76"/>
  <c r="P251" i="76" s="1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AI252" i="5" s="1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AI250" i="5" s="1"/>
  <c r="AK250" i="5" s="1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AI246" i="5" s="1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M239" i="76"/>
  <c r="K239" i="76"/>
  <c r="J239" i="76"/>
  <c r="H239" i="76"/>
  <c r="I239" i="76"/>
  <c r="G239" i="76"/>
  <c r="E239" i="76"/>
  <c r="F239" i="76"/>
  <c r="D239" i="76"/>
  <c r="AJ237" i="5"/>
  <c r="AJ238" i="5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AI242" i="5" s="1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AI241" i="5" s="1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AI238" i="5" s="1"/>
  <c r="AK238" i="5" s="1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AI237" i="5" s="1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/>
  <c r="AI224" i="5"/>
  <c r="AM224" i="5" s="1"/>
  <c r="AI228" i="5"/>
  <c r="AM228" i="5" s="1"/>
  <c r="AI229" i="5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N185" i="76" s="1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N226" i="76"/>
  <c r="P226" i="76" s="1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AI8" i="5" s="1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AI16" i="5" s="1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AI19" i="5" s="1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/>
  <c r="AA59" i="5"/>
  <c r="AA60" i="5"/>
  <c r="AC60" i="5"/>
  <c r="AA61" i="5"/>
  <c r="AI61" i="5" s="1"/>
  <c r="AA62" i="5"/>
  <c r="AI62" i="5" s="1"/>
  <c r="AA63" i="5"/>
  <c r="AI63" i="5"/>
  <c r="AA64" i="5"/>
  <c r="AA65" i="5"/>
  <c r="AA66" i="5"/>
  <c r="AI66" i="5"/>
  <c r="AA67" i="5"/>
  <c r="AI67" i="5" s="1"/>
  <c r="AA68" i="5"/>
  <c r="AI68" i="5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I70" i="5" s="1"/>
  <c r="AA71" i="5"/>
  <c r="AI71" i="5" s="1"/>
  <c r="AC71" i="5"/>
  <c r="AA72" i="5"/>
  <c r="AC72" i="5"/>
  <c r="AA73" i="5"/>
  <c r="AI73" i="5" s="1"/>
  <c r="AC73" i="5"/>
  <c r="AA74" i="5"/>
  <c r="AC74" i="5"/>
  <c r="AA75" i="5"/>
  <c r="AI75" i="5" s="1"/>
  <c r="AA76" i="5"/>
  <c r="AC76" i="5"/>
  <c r="AA77" i="5"/>
  <c r="AC77" i="5"/>
  <c r="AA78" i="5"/>
  <c r="AI78" i="5"/>
  <c r="AC78" i="5"/>
  <c r="AA79" i="5"/>
  <c r="AC79" i="5"/>
  <c r="AI79" i="5" s="1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L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/>
  <c r="AA122" i="5"/>
  <c r="AI122" i="5" s="1"/>
  <c r="AI123" i="5"/>
  <c r="AA124" i="5"/>
  <c r="AI124" i="5" s="1"/>
  <c r="AA125" i="5"/>
  <c r="AI125" i="5" s="1"/>
  <c r="AA126" i="5"/>
  <c r="AI126" i="5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AI173" i="5" s="1"/>
  <c r="G173" i="5"/>
  <c r="H173" i="5"/>
  <c r="J173" i="5"/>
  <c r="M173" i="5"/>
  <c r="O173" i="5"/>
  <c r="S173" i="5"/>
  <c r="U173" i="5"/>
  <c r="W173" i="5"/>
  <c r="X173" i="5"/>
  <c r="AA173" i="5"/>
  <c r="AC173" i="5"/>
  <c r="E174" i="5"/>
  <c r="AI174" i="5" s="1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AI176" i="5" s="1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AI179" i="5" s="1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AI181" i="5" s="1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AI183" i="5" s="1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AI184" i="5" s="1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AI185" i="5" s="1"/>
  <c r="T185" i="5"/>
  <c r="U185" i="5"/>
  <c r="W185" i="5"/>
  <c r="X185" i="5"/>
  <c r="Y185" i="5"/>
  <c r="AA185" i="5"/>
  <c r="AB185" i="5"/>
  <c r="AC185" i="5"/>
  <c r="G186" i="5"/>
  <c r="AI186" i="5" s="1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AI187" i="5" s="1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AI189" i="5" s="1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/>
  <c r="AJ191" i="5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AI196" i="5" s="1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AI210" i="5" s="1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AI214" i="5" s="1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AI216" i="5" s="1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I217" i="5" s="1"/>
  <c r="AM217" i="5" s="1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AI219" i="5" s="1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AK230" i="5" s="1"/>
  <c r="S232" i="5"/>
  <c r="AI232" i="5"/>
  <c r="AK232" i="5" s="1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146" i="5"/>
  <c r="AN146" i="5" s="1"/>
  <c r="P259" i="76"/>
  <c r="AK262" i="5"/>
  <c r="P263" i="76"/>
  <c r="P266" i="76"/>
  <c r="AK275" i="5"/>
  <c r="Q226" i="76"/>
  <c r="AK255" i="5"/>
  <c r="P270" i="76"/>
  <c r="AK272" i="5"/>
  <c r="AK282" i="5"/>
  <c r="AK281" i="5"/>
  <c r="AK277" i="5"/>
  <c r="AK276" i="5"/>
  <c r="P281" i="76"/>
  <c r="AM229" i="5"/>
  <c r="AK229" i="5"/>
  <c r="P277" i="76"/>
  <c r="Q225" i="76"/>
  <c r="AK258" i="5"/>
  <c r="AI200" i="5"/>
  <c r="AK254" i="5"/>
  <c r="P272" i="76"/>
  <c r="AI14" i="5"/>
  <c r="N183" i="76"/>
  <c r="AM230" i="5"/>
  <c r="AI249" i="5"/>
  <c r="AK249" i="5" s="1"/>
  <c r="AK280" i="5"/>
  <c r="N216" i="76"/>
  <c r="AI170" i="5"/>
  <c r="AI236" i="5"/>
  <c r="AK236" i="5" s="1"/>
  <c r="AK264" i="5"/>
  <c r="AM234" i="5"/>
  <c r="AK235" i="5"/>
  <c r="AI10" i="5"/>
  <c r="N210" i="76"/>
  <c r="P210" i="76" s="1"/>
  <c r="AI243" i="5"/>
  <c r="AI247" i="5"/>
  <c r="AI248" i="5"/>
  <c r="AK248" i="5" s="1"/>
  <c r="P262" i="76"/>
  <c r="AK242" i="5" l="1"/>
  <c r="AK253" i="5"/>
  <c r="AK257" i="5"/>
  <c r="AK256" i="5"/>
  <c r="AM227" i="5"/>
  <c r="AK228" i="5"/>
  <c r="AI12" i="5"/>
  <c r="N223" i="76"/>
  <c r="Q223" i="76" s="1"/>
  <c r="N186" i="76"/>
  <c r="N180" i="76"/>
  <c r="AK268" i="5"/>
  <c r="AM232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AK239" i="5" s="1"/>
  <c r="N236" i="76"/>
  <c r="P236" i="76" s="1"/>
  <c r="N239" i="76"/>
  <c r="N240" i="76"/>
  <c r="P258" i="76"/>
  <c r="P261" i="76"/>
  <c r="AK278" i="5"/>
  <c r="AK231" i="5"/>
  <c r="AI233" i="5"/>
  <c r="AI221" i="5"/>
  <c r="AK221" i="5" s="1"/>
  <c r="AI212" i="5"/>
  <c r="AI206" i="5"/>
  <c r="AI202" i="5"/>
  <c r="AI197" i="5"/>
  <c r="AI192" i="5"/>
  <c r="N207" i="76"/>
  <c r="N197" i="76"/>
  <c r="N192" i="76"/>
  <c r="N170" i="76"/>
  <c r="N167" i="76"/>
  <c r="N249" i="76"/>
  <c r="AK260" i="5"/>
  <c r="P268" i="76"/>
  <c r="AK273" i="5"/>
  <c r="AK243" i="5"/>
  <c r="AI195" i="5"/>
  <c r="AI165" i="5"/>
  <c r="AI159" i="5"/>
  <c r="AI17" i="5"/>
  <c r="AI11" i="5"/>
  <c r="N191" i="76"/>
  <c r="AI244" i="5"/>
  <c r="AK244" i="5" s="1"/>
  <c r="N244" i="76"/>
  <c r="AI251" i="5"/>
  <c r="AK251" i="5" s="1"/>
  <c r="P257" i="76"/>
  <c r="P250" i="76"/>
  <c r="P279" i="76"/>
  <c r="N217" i="76"/>
  <c r="N212" i="76"/>
  <c r="P213" i="76" s="1"/>
  <c r="N198" i="76"/>
  <c r="N179" i="76"/>
  <c r="N173" i="76"/>
  <c r="N168" i="76"/>
  <c r="N243" i="76"/>
  <c r="P244" i="76" s="1"/>
  <c r="P227" i="76"/>
  <c r="P229" i="76"/>
  <c r="N230" i="76"/>
  <c r="P230" i="76" s="1"/>
  <c r="N215" i="76"/>
  <c r="N181" i="76"/>
  <c r="N169" i="76"/>
  <c r="N246" i="76"/>
  <c r="N248" i="76"/>
  <c r="P249" i="76" s="1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45" i="76" s="1"/>
  <c r="P269" i="76"/>
  <c r="P271" i="76"/>
  <c r="AM219" i="5"/>
  <c r="AI213" i="5"/>
  <c r="AK214" i="5" s="1"/>
  <c r="AK220" i="5"/>
  <c r="AK217" i="5"/>
  <c r="AK233" i="5"/>
  <c r="P216" i="76"/>
  <c r="Q216" i="76"/>
  <c r="P207" i="76"/>
  <c r="P208" i="76"/>
  <c r="AK237" i="5"/>
  <c r="AI194" i="5"/>
  <c r="AI193" i="5"/>
  <c r="AI191" i="5"/>
  <c r="AI178" i="5"/>
  <c r="AI171" i="5"/>
  <c r="AI169" i="5"/>
  <c r="AI168" i="5"/>
  <c r="AI207" i="5"/>
  <c r="P240" i="76"/>
  <c r="AI13" i="5"/>
  <c r="N224" i="76"/>
  <c r="N219" i="76"/>
  <c r="N203" i="76"/>
  <c r="N202" i="76"/>
  <c r="N171" i="76"/>
  <c r="AI240" i="5"/>
  <c r="N237" i="76"/>
  <c r="P237" i="76" s="1"/>
  <c r="AI245" i="5"/>
  <c r="AK245" i="5" s="1"/>
  <c r="N242" i="76"/>
  <c r="P243" i="76" s="1"/>
  <c r="P275" i="76"/>
  <c r="P274" i="76"/>
  <c r="AK247" i="5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K215" i="5" s="1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P211" i="76" s="1"/>
  <c r="N205" i="76"/>
  <c r="N201" i="76"/>
  <c r="N200" i="76"/>
  <c r="N195" i="76"/>
  <c r="N189" i="76"/>
  <c r="N176" i="76"/>
  <c r="N174" i="76"/>
  <c r="N241" i="76"/>
  <c r="P241" i="76" s="1"/>
  <c r="P255" i="76"/>
  <c r="AI225" i="5"/>
  <c r="AI205" i="5"/>
  <c r="AI201" i="5"/>
  <c r="AI175" i="5"/>
  <c r="AI15" i="5"/>
  <c r="P215" i="76"/>
  <c r="N214" i="76"/>
  <c r="P214" i="76" s="1"/>
  <c r="N178" i="76"/>
  <c r="N234" i="76"/>
  <c r="N247" i="76"/>
  <c r="AK285" i="5"/>
  <c r="AK284" i="5"/>
  <c r="AK270" i="5"/>
  <c r="P238" i="76" l="1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<sst xmlns="http://schemas.openxmlformats.org/spreadsheetml/2006/main" count="81" uniqueCount="70">
  <si>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</si>
  <si>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</si>
  <si>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</si>
  <si>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</si>
  <si>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</si>
  <si>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</si>
  <si>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</si>
  <si>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</si>
  <si>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</si>
  <si>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</si>
  <si>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</si>
  <si>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</si>
  <si>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</si>
  <si>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</si>
  <si>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</si>
  <si>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</si>
  <si>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</si>
  <si>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</si>
  <si>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</si>
  <si>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</si>
  <si>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</si>
  <si>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</si>
  <si>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</si>
  <si>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</si>
  <si>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</si>
  <si>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</si>
  <si>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</si>
  <si>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</si>
  <si>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</si>
  <si>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</si>
  <si>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</si>
  <si>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</si>
  <si>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</si>
  <si>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</si>
  <si>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</si>
  <si>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</si>
  <si>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</si>
  <si>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</si>
  <si>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</si>
  <si>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</si>
  <si>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</si>
  <si>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</si>
  <si>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</si>
  <si>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</si>
  <si>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</si>
  <si>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</si>
  <si>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</si>
  <si>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</si>
  <si>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</si>
  <si>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</si>
  <si>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</si>
  <si>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</si>
  <si>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</si>
  <si>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</si>
  <si>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</si>
  <si>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</si>
  <si>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</si>
  <si>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</si>
  <si>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</si>
  <si>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</si>
  <si>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</si>
  <si>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</si>
  <si>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</si>
  <si>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</si>
  <si>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</si>
  <si>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</si>
  <si>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</si>
  <si>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abril 2021 fue de 871 MMPCD; inferior en 196 MMPCD comparado al mes anterior.</t>
    </r>
  </si>
  <si>
    <t>PRODUCCIÓN FISCALIZADA PROMEDIO DE HIDROCARBUROS
AL 30 DE ABRIL DEL 2021</t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</si>
  <si>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en el mes de abril de 2021 fue de 104,915 Bpd; superior en 3,005 Bpd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</si>
</sst>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17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1" fillId="0" borderId="0" xfId="0" applyFont="1" applyFill="1"/>
    <xf numFmtId="3" fontId="11" fillId="0" borderId="4" xfId="0" applyNumberFormat="1" applyFont="1" applyFill="1" applyBorder="1"/>
    <xf numFmtId="3" fontId="0" fillId="2" borderId="4" xfId="0" applyNumberFormat="1" applyFill="1" applyBorder="1"/>
    <xf numFmtId="3" fontId="11" fillId="0" borderId="1" xfId="0" applyNumberFormat="1" applyFont="1" applyFill="1" applyBorder="1"/>
    <xf numFmtId="3" fontId="0" fillId="2" borderId="1" xfId="0" applyNumberFormat="1" applyFill="1" applyBorder="1"/>
    <xf numFmtId="3" fontId="11" fillId="0" borderId="2" xfId="0" applyNumberFormat="1" applyFont="1" applyFill="1" applyBorder="1"/>
    <xf numFmtId="3" fontId="0" fillId="2" borderId="2" xfId="0" applyNumberFormat="1" applyFill="1" applyBorder="1"/>
    <xf numFmtId="3" fontId="11" fillId="0" borderId="7" xfId="0" applyNumberFormat="1" applyFont="1" applyFill="1" applyBorder="1"/>
    <xf numFmtId="3" fontId="0" fillId="2" borderId="7" xfId="0" applyNumberFormat="1" applyFill="1" applyBorder="1"/>
    <xf numFmtId="3" fontId="11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4" fillId="0" borderId="7" xfId="0" applyNumberFormat="1" applyFont="1" applyFill="1" applyBorder="1"/>
    <xf numFmtId="3" fontId="12" fillId="0" borderId="1" xfId="0" applyNumberFormat="1" applyFont="1" applyFill="1" applyBorder="1"/>
    <xf numFmtId="3" fontId="10" fillId="0" borderId="1" xfId="0" applyNumberFormat="1" applyFont="1" applyFill="1" applyBorder="1"/>
    <xf numFmtId="3" fontId="10" fillId="0" borderId="8" xfId="0" applyNumberFormat="1" applyFont="1" applyFill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169" fontId="10" fillId="0" borderId="0" xfId="1" applyNumberFormat="1" applyFont="1" applyFill="1"/>
    <xf numFmtId="4" fontId="0" fillId="0" borderId="0" xfId="0" applyNumberFormat="1" applyFill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/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 applyAlignment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3" fontId="0" fillId="6" borderId="0" xfId="0" applyNumberFormat="1" applyFill="1" applyBorder="1"/>
    <xf numFmtId="3" fontId="0" fillId="6" borderId="0" xfId="0" applyNumberFormat="1" applyFill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 applyBorder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1" xfId="0" applyNumberFormat="1" applyFill="1" applyBorder="1" applyAlignment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0" fillId="6" borderId="1" xfId="0" applyNumberFormat="1" applyFill="1" applyBorder="1" applyAlignment="1"/>
    <xf numFmtId="1" fontId="3" fillId="6" borderId="1" xfId="0" applyNumberFormat="1" applyFont="1" applyFill="1" applyBorder="1" applyAlignment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0" fillId="6" borderId="1" xfId="0" applyNumberFormat="1" applyFill="1" applyBorder="1" applyAlignment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6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Border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 applyAlignment="1"/>
    <xf numFmtId="4" fontId="0" fillId="11" borderId="13" xfId="0" applyNumberFormat="1" applyFill="1" applyBorder="1" applyAlignment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 applyAlignment="1"/>
    <xf numFmtId="0" fontId="26" fillId="6" borderId="0" xfId="0" applyFont="1" applyFill="1" applyAlignment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Border="1"/>
    <xf numFmtId="0" fontId="24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/>
    <xf numFmtId="0" fontId="28" fillId="6" borderId="0" xfId="0" applyFont="1" applyFill="1"/>
    <xf numFmtId="0" fontId="24" fillId="6" borderId="0" xfId="0" applyFont="1" applyFill="1" applyBorder="1" applyAlignment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2" fontId="0" fillId="17" borderId="0" xfId="0" applyNumberFormat="1" applyFill="1" applyBorder="1" applyAlignment="1">
      <alignment horizontal="center"/>
    </xf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Border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2" fontId="0" fillId="19" borderId="0" xfId="0" applyNumberFormat="1" applyFill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Border="1" applyAlignment="1">
      <alignment horizontal="justify" wrapText="1"/>
    </xf>
    <xf numFmtId="0" fontId="24" fillId="18" borderId="0" xfId="0" applyFont="1" applyFill="1" applyBorder="1" applyAlignment="1">
      <alignment horizontal="justify" vertical="center" wrapText="1"/>
    </xf>
    <xf numFmtId="0" fontId="24" fillId="18" borderId="0" xfId="0" applyFont="1" applyFill="1" applyBorder="1" applyAlignment="1">
      <alignment horizontal="left" wrapText="1"/>
    </xf>
    <xf numFmtId="0" fontId="30" fillId="18" borderId="0" xfId="0" applyFont="1" applyFill="1" applyBorder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Border="1" applyAlignment="1">
      <alignment horizontal="justify" vertical="top" wrapText="1"/>
    </xf>
  </cellXfs>
  <cellStyles count="8">
    <cellStyle name="Millares" xfId="1" builtinId="3"/>
    <cellStyle name="Millares [0]" xfId="2" builtinId="6"/>
    <cellStyle name="Millares 2" xfId="7"/>
    <cellStyle name="Normal" xfId="0" builtinId="0"/>
    <cellStyle name="Normal 2" xfId="3"/>
    <cellStyle name="Normal 2 2" xfId="5"/>
    <cellStyle name="Normal 3" xfId="6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dLbls>
            <c:dLbl>
              <c:idx val="135"/>
              <c:layout>
                <c:manualLayout>
                  <c:x val="-1.8319055048327687E-3"/>
                  <c:y val="9.7227212595338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7E-4559-8EB6-34A3E6518D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(no)'!$C$200:$C$335</c:f>
              <c:numCache>
                <c:formatCode>0.00</c:formatCode>
                <c:ptCount val="136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</c:numCache>
            </c:numRef>
          </c:xVal>
          <c:yVal>
            <c:numRef>
              <c:f>'ESTRUCTURA oil (no)'!$AI$200:$AI$335</c:f>
              <c:numCache>
                <c:formatCode>#,##0</c:formatCode>
                <c:ptCount val="136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35"/>
              <c:layout>
                <c:manualLayout>
                  <c:x val="-1.8319055048327687E-3"/>
                  <c:y val="-6.48181417302258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7E-4559-8EB6-34A3E6518D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(no)'!$C$200:$C$335</c:f>
              <c:numCache>
                <c:formatCode>0.00</c:formatCode>
                <c:ptCount val="136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</c:numCache>
            </c:numRef>
          </c:xVal>
          <c:yVal>
            <c:numRef>
              <c:f>'ESTRUCTURA oil (no)'!$AJ$200:$AJ$335</c:f>
              <c:numCache>
                <c:formatCode>#,##0</c:formatCode>
                <c:ptCount val="136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111800</c:v>
                </c:pt>
                <c:pt idx="133">
                  <c:v>111800</c:v>
                </c:pt>
                <c:pt idx="134">
                  <c:v>111800</c:v>
                </c:pt>
                <c:pt idx="135">
                  <c:v>111800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1.4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dLbls>
            <c:dLbl>
              <c:idx val="13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95-4292-BFB9-A07FDC4B16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(no)'!$B$197:$B$332</c:f>
              <c:numCache>
                <c:formatCode>0</c:formatCode>
                <c:ptCount val="136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</c:numCache>
            </c:numRef>
          </c:xVal>
          <c:yVal>
            <c:numRef>
              <c:f>'ESTRUCTURA gas (no)'!$N$197:$N$332</c:f>
              <c:numCache>
                <c:formatCode>#,##0</c:formatCode>
                <c:ptCount val="136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13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95-4292-BFB9-A07FDC4B16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(no)'!$B$197:$B$332</c:f>
              <c:numCache>
                <c:formatCode>0</c:formatCode>
                <c:ptCount val="136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</c:numCache>
            </c:numRef>
          </c:xVal>
          <c:yVal>
            <c:numRef>
              <c:f>'ESTRUCTURA gas (no)'!$O$197:$O$332</c:f>
              <c:numCache>
                <c:formatCode>#,##0</c:formatCode>
                <c:ptCount val="136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1064278.3337999999</c:v>
                </c:pt>
                <c:pt idx="133">
                  <c:v>1064278.3337999999</c:v>
                </c:pt>
                <c:pt idx="134">
                  <c:v>1064278.3337999999</c:v>
                </c:pt>
                <c:pt idx="135">
                  <c:v>1064278.3337999999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1.4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309791</xdr:colOff>
      <xdr:row>5</xdr:row>
      <xdr:rowOff>105743</xdr:rowOff>
    </xdr:from>
    <xdr:to>
      <xdr:col>12</xdr:col>
      <xdr:colOff>245918</xdr:colOff>
      <xdr:row>30</xdr:row>
      <xdr:rowOff>19570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264102</xdr:colOff>
      <xdr:row>51</xdr:row>
      <xdr:rowOff>77066</xdr:rowOff>
    </xdr:from>
    <xdr:to>
      <xdr:col>12</xdr:col>
      <xdr:colOff>254577</xdr:colOff>
      <xdr:row>76</xdr:row>
      <xdr:rowOff>67541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9" tint="0.59999389629810485"/>
    <pageSetUpPr fitToPage="1"/>
  </sheetPr>
  <dimension ref="A1:BK343"/>
  <sheetViews>
    <sheetView topLeftCell="A5" workbookViewId="0">
      <pane xSplit="4" ySplit="3" topLeftCell="AI326" activePane="bottomRight" state="frozen"/>
      <selection activeCell="A5" sqref="A5"/>
      <selection pane="topRight" activeCell="E5" sqref="E5"/>
      <selection pane="bottomLeft" activeCell="A8" sqref="A8"/>
      <selection pane="bottomRight" activeCell="AI335" sqref="AI335"/>
    </sheetView>
  </sheetViews>
  <sheetFormatPr baseColWidth="10" defaultColWidth="11.44140625" defaultRowHeight="13.2" x14ac:dyDescent="0.25"/>
  <cols>
    <col min="1" max="1" width="2.88671875" style="135" customWidth="1"/>
    <col min="2" max="2" width="1.44140625" style="135" customWidth="1"/>
    <col min="3" max="3" width="9.33203125" style="181" customWidth="1"/>
    <col min="4" max="4" width="10.5546875" style="135" bestFit="1" customWidth="1"/>
    <col min="5" max="5" width="9" style="135" hidden="1" customWidth="1"/>
    <col min="6" max="6" width="10.109375" style="135" hidden="1" customWidth="1"/>
    <col min="7" max="7" width="11" style="135" hidden="1" customWidth="1"/>
    <col min="8" max="8" width="9.6640625" style="135" hidden="1" customWidth="1"/>
    <col min="9" max="9" width="11" style="135" hidden="1" customWidth="1"/>
    <col min="10" max="10" width="10.109375" style="135" hidden="1" customWidth="1"/>
    <col min="11" max="11" width="8.5546875" style="135" hidden="1" customWidth="1"/>
    <col min="12" max="12" width="12" style="135" hidden="1" customWidth="1"/>
    <col min="13" max="13" width="11.88671875" style="135" hidden="1" customWidth="1"/>
    <col min="14" max="14" width="10.5546875" style="135" hidden="1" customWidth="1"/>
    <col min="15" max="15" width="12" style="135" hidden="1" customWidth="1"/>
    <col min="16" max="16" width="10.109375" style="135" hidden="1" customWidth="1"/>
    <col min="17" max="17" width="8.5546875" style="135" hidden="1" customWidth="1"/>
    <col min="18" max="18" width="11" style="135" hidden="1" customWidth="1"/>
    <col min="19" max="20" width="12.44140625" style="135" hidden="1" customWidth="1"/>
    <col min="21" max="22" width="15.109375" style="135" hidden="1" customWidth="1"/>
    <col min="23" max="26" width="14" style="135" hidden="1" customWidth="1"/>
    <col min="27" max="27" width="12.33203125" style="135" hidden="1" customWidth="1"/>
    <col min="28" max="28" width="8.33203125" style="135" hidden="1" customWidth="1"/>
    <col min="29" max="34" width="10.109375" style="135" hidden="1" customWidth="1"/>
    <col min="35" max="35" width="11" style="135" customWidth="1"/>
    <col min="36" max="36" width="13.6640625" style="142" customWidth="1"/>
    <col min="37" max="37" width="11.44140625" style="138"/>
    <col min="38" max="16384" width="11.44140625" style="135"/>
  </cols>
  <sheetData>
    <row r="1" spans="1:36" hidden="1" x14ac:dyDescent="0.25"/>
    <row r="2" spans="1:36" hidden="1" x14ac:dyDescent="0.25"/>
    <row r="3" spans="1:36" hidden="1" x14ac:dyDescent="0.25"/>
    <row r="4" spans="1:36" hidden="1" x14ac:dyDescent="0.25"/>
    <row r="5" spans="1:36" x14ac:dyDescent="0.2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6.4" x14ac:dyDescent="0.2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1:36" x14ac:dyDescent="0.25">
      <c r="C8" s="182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x14ac:dyDescent="0.25">
      <c r="A9" s="149"/>
      <c r="B9" s="149"/>
      <c r="C9" s="182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252">
        <v>127305</v>
      </c>
    </row>
    <row r="10" spans="1:36" x14ac:dyDescent="0.2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252">
        <v>127305</v>
      </c>
    </row>
    <row r="11" spans="1:36" x14ac:dyDescent="0.2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x14ac:dyDescent="0.2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252">
        <v>127305</v>
      </c>
    </row>
    <row r="13" spans="1:36" x14ac:dyDescent="0.2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x14ac:dyDescent="0.25">
      <c r="A14" s="149">
        <v>2.7397260273972603E-3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x14ac:dyDescent="0.2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x14ac:dyDescent="0.2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x14ac:dyDescent="0.2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x14ac:dyDescent="0.2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x14ac:dyDescent="0.25">
      <c r="A19" s="149"/>
      <c r="B19" s="149"/>
      <c r="C19" s="182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x14ac:dyDescent="0.2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x14ac:dyDescent="0.2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x14ac:dyDescent="0.2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x14ac:dyDescent="0.2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x14ac:dyDescent="0.2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x14ac:dyDescent="0.25">
      <c r="A25" s="149"/>
      <c r="B25" s="149"/>
      <c r="C25" s="182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252">
        <v>121700</v>
      </c>
    </row>
    <row r="26" spans="1:36" x14ac:dyDescent="0.25">
      <c r="A26" s="149"/>
      <c r="B26" s="149"/>
      <c r="C26" s="182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x14ac:dyDescent="0.2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x14ac:dyDescent="0.2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x14ac:dyDescent="0.25">
      <c r="A29" s="149"/>
      <c r="B29" s="149"/>
      <c r="C29" s="182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x14ac:dyDescent="0.2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x14ac:dyDescent="0.2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x14ac:dyDescent="0.2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x14ac:dyDescent="0.2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x14ac:dyDescent="0.2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x14ac:dyDescent="0.2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x14ac:dyDescent="0.2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x14ac:dyDescent="0.2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x14ac:dyDescent="0.2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x14ac:dyDescent="0.2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x14ac:dyDescent="0.2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x14ac:dyDescent="0.2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x14ac:dyDescent="0.2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x14ac:dyDescent="0.2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x14ac:dyDescent="0.2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x14ac:dyDescent="0.2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x14ac:dyDescent="0.25">
      <c r="A46" s="149"/>
      <c r="B46" s="149"/>
      <c r="C46" s="182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x14ac:dyDescent="0.2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x14ac:dyDescent="0.2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x14ac:dyDescent="0.25">
      <c r="A49" s="149"/>
      <c r="B49" s="149"/>
      <c r="C49" s="182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x14ac:dyDescent="0.2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x14ac:dyDescent="0.2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x14ac:dyDescent="0.2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x14ac:dyDescent="0.2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x14ac:dyDescent="0.2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x14ac:dyDescent="0.2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x14ac:dyDescent="0.2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x14ac:dyDescent="0.2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x14ac:dyDescent="0.2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x14ac:dyDescent="0.2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x14ac:dyDescent="0.2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x14ac:dyDescent="0.2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t="shared" ref="AJ61:AJ67" si="4">+AJ60</f>
        <v>115593</v>
      </c>
    </row>
    <row r="62" spans="1:36" x14ac:dyDescent="0.2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x14ac:dyDescent="0.2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x14ac:dyDescent="0.2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7" x14ac:dyDescent="0.2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7" x14ac:dyDescent="0.25">
      <c r="A66" s="149"/>
      <c r="B66" s="149"/>
      <c r="C66" s="182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7" x14ac:dyDescent="0.2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7" x14ac:dyDescent="0.2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7" x14ac:dyDescent="0.25">
      <c r="A69" s="149"/>
      <c r="B69" s="149"/>
      <c r="C69" s="182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t="shared" ref="AJ69:AJ78" si="5">+AJ68</f>
        <v>105927</v>
      </c>
    </row>
    <row r="70" spans="1:37" x14ac:dyDescent="0.25">
      <c r="A70" s="149"/>
      <c r="B70" s="149"/>
      <c r="C70" s="182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7" x14ac:dyDescent="0.2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x14ac:dyDescent="0.2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7" x14ac:dyDescent="0.2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7" x14ac:dyDescent="0.2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7" x14ac:dyDescent="0.2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7" x14ac:dyDescent="0.2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7" x14ac:dyDescent="0.2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7" x14ac:dyDescent="0.2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7" x14ac:dyDescent="0.2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7" x14ac:dyDescent="0.2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40" x14ac:dyDescent="0.2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t="shared" ref="AJ81:AJ86" si="6">+AJ80</f>
        <v>99217</v>
      </c>
    </row>
    <row r="82" spans="1:40" x14ac:dyDescent="0.2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40" x14ac:dyDescent="0.25">
      <c r="A83" s="149"/>
      <c r="B83" s="149"/>
      <c r="C83" s="182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40" x14ac:dyDescent="0.2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40" x14ac:dyDescent="0.2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8">
        <v>3869</v>
      </c>
      <c r="K85" s="298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40" x14ac:dyDescent="0.25">
      <c r="A86" s="149"/>
      <c r="B86" s="149"/>
      <c r="C86" s="182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8">
        <v>4034</v>
      </c>
      <c r="K86" s="298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40" x14ac:dyDescent="0.25">
      <c r="A87" s="149"/>
      <c r="B87" s="149"/>
      <c r="C87" s="182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8">
        <v>4285</v>
      </c>
      <c r="K87" s="298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x14ac:dyDescent="0.2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8">
        <v>4266</v>
      </c>
      <c r="K88" s="298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40" x14ac:dyDescent="0.2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8">
        <v>4352</v>
      </c>
      <c r="K89" s="298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40" x14ac:dyDescent="0.25">
      <c r="A90" s="149"/>
      <c r="B90" s="149"/>
      <c r="C90" s="182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303">
        <v>4271.2666666666664</v>
      </c>
      <c r="K90" s="303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40" x14ac:dyDescent="0.25">
      <c r="A91" s="149"/>
      <c r="B91" s="149"/>
      <c r="C91" s="182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298">
        <v>4265.2258064516127</v>
      </c>
      <c r="K91" s="298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252">
        <v>99217</v>
      </c>
    </row>
    <row r="92" spans="1:40" x14ac:dyDescent="0.25">
      <c r="A92" s="149"/>
      <c r="B92" s="149"/>
      <c r="C92" s="182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298">
        <v>4113.322580645161</v>
      </c>
      <c r="K92" s="298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252">
        <v>97097</v>
      </c>
    </row>
    <row r="93" spans="1:40" x14ac:dyDescent="0.25">
      <c r="A93" s="149"/>
      <c r="B93" s="149"/>
      <c r="C93" s="182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298">
        <v>4045.2142857142858</v>
      </c>
      <c r="K93" s="298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t="shared" ref="AJ93:AJ98" si="8">+AJ92</f>
        <v>97097</v>
      </c>
    </row>
    <row r="94" spans="1:40" x14ac:dyDescent="0.25">
      <c r="A94" s="149"/>
      <c r="B94" s="149"/>
      <c r="C94" s="182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298">
        <v>3904.0645161290322</v>
      </c>
      <c r="K94" s="298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252">
        <f t="shared" si="8"/>
        <v>97097</v>
      </c>
      <c r="AM94" s="134"/>
    </row>
    <row r="95" spans="1:40" x14ac:dyDescent="0.25">
      <c r="A95" s="149"/>
      <c r="B95" s="149"/>
      <c r="C95" s="182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298">
        <v>4358.2</v>
      </c>
      <c r="K95" s="298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40" x14ac:dyDescent="0.2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298">
        <v>4537.3870967741932</v>
      </c>
      <c r="K96" s="298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x14ac:dyDescent="0.2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8">
        <v>4451</v>
      </c>
      <c r="K97" s="298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x14ac:dyDescent="0.2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8">
        <v>4561</v>
      </c>
      <c r="K98" s="298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8">
        <v>4385</v>
      </c>
      <c r="K99" s="298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x14ac:dyDescent="0.2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8">
        <v>4487</v>
      </c>
      <c r="K100" s="298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x14ac:dyDescent="0.2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8">
        <v>4265</v>
      </c>
      <c r="K101" s="298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x14ac:dyDescent="0.2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8">
        <v>4133</v>
      </c>
      <c r="K102" s="298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252">
        <f>+AJ101</f>
        <v>97097</v>
      </c>
      <c r="AM102" s="134"/>
    </row>
    <row r="103" spans="1:39" x14ac:dyDescent="0.2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8">
        <v>3945</v>
      </c>
      <c r="K103" s="298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x14ac:dyDescent="0.2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8">
        <v>3743</v>
      </c>
      <c r="K104" s="298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x14ac:dyDescent="0.2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8">
        <v>3792</v>
      </c>
      <c r="K105" s="298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x14ac:dyDescent="0.2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8">
        <v>3462</v>
      </c>
      <c r="K106" s="298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t="shared" ref="AJ106:AJ114" si="10">+AJ105</f>
        <v>96865</v>
      </c>
      <c r="AM106" s="134"/>
    </row>
    <row r="107" spans="1:39" x14ac:dyDescent="0.25">
      <c r="A107" s="149"/>
      <c r="B107" s="149"/>
      <c r="C107" s="182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8">
        <v>3441</v>
      </c>
      <c r="K107" s="298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x14ac:dyDescent="0.2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8">
        <v>3531</v>
      </c>
      <c r="K108" s="298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x14ac:dyDescent="0.2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8">
        <v>3546</v>
      </c>
      <c r="K109" s="298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252">
        <f t="shared" si="10"/>
        <v>96865</v>
      </c>
      <c r="AM109" s="134"/>
    </row>
    <row r="110" spans="1:39" x14ac:dyDescent="0.25">
      <c r="A110" s="149"/>
      <c r="B110" s="149"/>
      <c r="C110" s="182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8">
        <v>3405</v>
      </c>
      <c r="K110" s="298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x14ac:dyDescent="0.2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8">
        <v>3341</v>
      </c>
      <c r="K111" s="298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x14ac:dyDescent="0.2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8">
        <v>3357</v>
      </c>
      <c r="K112" s="298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x14ac:dyDescent="0.2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8">
        <v>3346</v>
      </c>
      <c r="K113" s="298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x14ac:dyDescent="0.2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8">
        <v>3341</v>
      </c>
      <c r="K114" s="298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x14ac:dyDescent="0.2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8">
        <v>3291</v>
      </c>
      <c r="K115" s="298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x14ac:dyDescent="0.2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8">
        <v>3103</v>
      </c>
      <c r="K116" s="298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x14ac:dyDescent="0.2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8">
        <v>3002</v>
      </c>
      <c r="K117" s="298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t="shared" ref="AJ117:AJ127" si="12">+AJ116</f>
        <v>91350</v>
      </c>
      <c r="AM117" s="134"/>
    </row>
    <row r="118" spans="1:39" x14ac:dyDescent="0.2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8">
        <v>2920</v>
      </c>
      <c r="K118" s="298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252">
        <f t="shared" si="12"/>
        <v>91350</v>
      </c>
    </row>
    <row r="119" spans="1:39" x14ac:dyDescent="0.2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8">
        <v>3023</v>
      </c>
      <c r="K119" s="298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9" x14ac:dyDescent="0.2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8">
        <v>3080</v>
      </c>
      <c r="K120" s="298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9" x14ac:dyDescent="0.2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8">
        <v>3168</v>
      </c>
      <c r="K121" s="298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9" x14ac:dyDescent="0.2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8">
        <v>3369</v>
      </c>
      <c r="K122" s="298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9" x14ac:dyDescent="0.2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8">
        <v>3462</v>
      </c>
      <c r="K123" s="298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9" x14ac:dyDescent="0.2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8">
        <v>3406</v>
      </c>
      <c r="K124" s="298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9" x14ac:dyDescent="0.2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8">
        <v>3500</v>
      </c>
      <c r="K125" s="298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9" x14ac:dyDescent="0.2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8">
        <v>3472</v>
      </c>
      <c r="K126" s="298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9" x14ac:dyDescent="0.25">
      <c r="A127" s="149"/>
      <c r="B127" s="149"/>
      <c r="C127" s="182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8">
        <v>4015</v>
      </c>
      <c r="K127" s="298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9" x14ac:dyDescent="0.2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8">
        <v>3622</v>
      </c>
      <c r="K128" s="298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8" x14ac:dyDescent="0.2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8">
        <v>3604</v>
      </c>
      <c r="K129" s="298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8" x14ac:dyDescent="0.25">
      <c r="C130" s="182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8">
        <v>3645</v>
      </c>
      <c r="K130" s="298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8" x14ac:dyDescent="0.25">
      <c r="C131" s="182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298">
        <v>3604.5</v>
      </c>
      <c r="K131" s="298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8" x14ac:dyDescent="0.25">
      <c r="C132" s="182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298">
        <v>3630</v>
      </c>
      <c r="K132" s="298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8" x14ac:dyDescent="0.25">
      <c r="C133" s="182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298">
        <v>3661.0666666666666</v>
      </c>
      <c r="K133" s="298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8" x14ac:dyDescent="0.25">
      <c r="C134" s="182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298">
        <v>3662.0322580645161</v>
      </c>
      <c r="K134" s="298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252">
        <v>94120</v>
      </c>
    </row>
    <row r="135" spans="3:38" x14ac:dyDescent="0.25">
      <c r="C135" s="182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298">
        <v>3615.6451612903224</v>
      </c>
      <c r="K135" s="298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252">
        <v>94120</v>
      </c>
    </row>
    <row r="136" spans="3:38" x14ac:dyDescent="0.25">
      <c r="C136" s="182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298">
        <v>3657.0333333333333</v>
      </c>
      <c r="K136" s="298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8" x14ac:dyDescent="0.25">
      <c r="C137" s="182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298">
        <v>3615.483870967742</v>
      </c>
      <c r="K137" s="298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8" x14ac:dyDescent="0.25">
      <c r="C138" s="182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298">
        <v>3553.5666666666666</v>
      </c>
      <c r="K138" s="298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x14ac:dyDescent="0.25">
      <c r="C139" s="182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298">
        <v>3515</v>
      </c>
      <c r="K139" s="298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x14ac:dyDescent="0.25">
      <c r="C140" s="182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298">
        <v>3414</v>
      </c>
      <c r="K140" s="298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8" x14ac:dyDescent="0.25">
      <c r="C141" s="182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298">
        <v>3357</v>
      </c>
      <c r="K141" s="298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8" x14ac:dyDescent="0.25">
      <c r="C142" s="182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298">
        <v>3434.3225806451615</v>
      </c>
      <c r="K142" s="298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8" x14ac:dyDescent="0.2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8">
        <v>3363</v>
      </c>
      <c r="K143" s="298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8" x14ac:dyDescent="0.2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8">
        <v>3416</v>
      </c>
      <c r="K144" s="298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252">
        <v>111295</v>
      </c>
    </row>
    <row r="145" spans="3:40" x14ac:dyDescent="0.2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8">
        <v>3386</v>
      </c>
      <c r="K145" s="298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x14ac:dyDescent="0.2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8">
        <v>3353</v>
      </c>
      <c r="K146" s="298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5">
      <c r="C147" s="182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8">
        <v>3355</v>
      </c>
      <c r="K147" s="298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40" x14ac:dyDescent="0.2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8">
        <v>3402</v>
      </c>
      <c r="K148" s="298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40" x14ac:dyDescent="0.2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8">
        <v>3320</v>
      </c>
      <c r="K149" s="298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40" x14ac:dyDescent="0.25">
      <c r="C150" s="182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8">
        <v>3087</v>
      </c>
      <c r="K150" s="302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40" x14ac:dyDescent="0.25">
      <c r="C151" s="182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8">
        <v>3053</v>
      </c>
      <c r="K151" s="302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252">
        <v>111295</v>
      </c>
    </row>
    <row r="152" spans="3:40" x14ac:dyDescent="0.25">
      <c r="C152" s="182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298">
        <v>3163.19</v>
      </c>
      <c r="K152" s="298"/>
      <c r="L152" s="148">
        <v>283.548</v>
      </c>
      <c r="M152" s="148">
        <v>12448.709150000001</v>
      </c>
      <c r="N152" s="155"/>
      <c r="O152" s="148">
        <v>1.419</v>
      </c>
      <c r="P152" s="155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252">
        <v>115581</v>
      </c>
    </row>
    <row r="153" spans="3:40" x14ac:dyDescent="0.2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302">
        <v>3199</v>
      </c>
      <c r="K153" s="302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40" x14ac:dyDescent="0.2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302">
        <v>3167</v>
      </c>
      <c r="K154" s="302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t="shared" ref="AJ154:AJ162" si="17">+AJ153</f>
        <v>115581</v>
      </c>
    </row>
    <row r="155" spans="3:40" x14ac:dyDescent="0.2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302">
        <v>3182</v>
      </c>
      <c r="K155" s="302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40" x14ac:dyDescent="0.2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8">
        <v>3146</v>
      </c>
      <c r="K156" s="298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40" x14ac:dyDescent="0.2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8">
        <v>3103</v>
      </c>
      <c r="K157" s="298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40" x14ac:dyDescent="0.25">
      <c r="C158" s="182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298">
        <v>3059.6451612903224</v>
      </c>
      <c r="K158" s="298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40" x14ac:dyDescent="0.25">
      <c r="C159" s="182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301">
        <f>93766/31</f>
        <v>3024.7096774193546</v>
      </c>
      <c r="K159" s="301"/>
      <c r="L159" s="148">
        <v>289.58064516129031</v>
      </c>
      <c r="M159" s="148">
        <f>403648/31</f>
        <v>13020.903225806451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40" x14ac:dyDescent="0.2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302">
        <v>2984</v>
      </c>
      <c r="K160" s="302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x14ac:dyDescent="0.2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8">
        <v>3008</v>
      </c>
      <c r="K161" s="298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x14ac:dyDescent="0.2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302">
        <v>2909</v>
      </c>
      <c r="K162" s="302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x14ac:dyDescent="0.2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8">
        <v>2685</v>
      </c>
      <c r="K163" s="298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x14ac:dyDescent="0.2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302">
        <v>2853</v>
      </c>
      <c r="K164" s="302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x14ac:dyDescent="0.25">
      <c r="C165" s="182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298">
        <f>80304/28</f>
        <v>2868</v>
      </c>
      <c r="K165" s="298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x14ac:dyDescent="0.2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8">
        <v>2812</v>
      </c>
      <c r="K166" s="298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252">
        <f>+AJ165</f>
        <v>113869</v>
      </c>
    </row>
    <row r="167" spans="3:36" x14ac:dyDescent="0.25">
      <c r="C167" s="182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301">
        <f>90267/30</f>
        <v>3008.9</v>
      </c>
      <c r="K167" s="301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x14ac:dyDescent="0.25">
      <c r="C168" s="182">
        <f t="shared" si="16"/>
        <v>2007.4166613000079</v>
      </c>
      <c r="D168" s="152">
        <v>39203</v>
      </c>
      <c r="E168" s="156">
        <f>27814/31</f>
        <v>897.22580645161293</v>
      </c>
      <c r="F168" s="156">
        <f>16066/31</f>
        <v>518.25806451612902</v>
      </c>
      <c r="G168" s="148">
        <f>33149/31</f>
        <v>1069.3225806451612</v>
      </c>
      <c r="H168" s="155">
        <f>44764/31</f>
        <v>1444</v>
      </c>
      <c r="I168" s="156">
        <f>6754/31</f>
        <v>217.87096774193549</v>
      </c>
      <c r="J168" s="301">
        <f>91935/31</f>
        <v>2965.6451612903224</v>
      </c>
      <c r="K168" s="301"/>
      <c r="L168" s="156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x14ac:dyDescent="0.2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512.06666666666672</v>
      </c>
      <c r="G169" s="148">
        <f>27660/30</f>
        <v>922</v>
      </c>
      <c r="H169" s="156">
        <f>43522/30</f>
        <v>1450.7333333333333</v>
      </c>
      <c r="I169" s="156">
        <v>169.7</v>
      </c>
      <c r="J169" s="301">
        <f>87309/30</f>
        <v>2910.3</v>
      </c>
      <c r="K169" s="301"/>
      <c r="L169" s="156">
        <v>272.10000000000002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70.833333333333329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t="shared" ref="AJ169:AJ175" si="18">+AJ168</f>
        <v>113869</v>
      </c>
    </row>
    <row r="170" spans="3:36" x14ac:dyDescent="0.25">
      <c r="C170" s="182">
        <f t="shared" si="16"/>
        <v>2007.583327900008</v>
      </c>
      <c r="D170" s="152">
        <v>39264</v>
      </c>
      <c r="E170" s="156">
        <f>27640/31</f>
        <v>891.61290322580646</v>
      </c>
      <c r="F170" s="156">
        <v>560</v>
      </c>
      <c r="G170" s="156">
        <v>908.22580645161293</v>
      </c>
      <c r="H170" s="156">
        <f>44203/31</f>
        <v>1425.9032258064517</v>
      </c>
      <c r="I170" s="156">
        <v>143.58064516129033</v>
      </c>
      <c r="J170" s="301">
        <f>90019/31</f>
        <v>2903.8387096774195</v>
      </c>
      <c r="K170" s="301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62.967741935483872</v>
      </c>
      <c r="S170" s="156">
        <f>346162/31</f>
        <v>11166.516129032258</v>
      </c>
      <c r="T170" s="156"/>
      <c r="U170" s="156">
        <f>535440/31</f>
        <v>17272.258064516129</v>
      </c>
      <c r="V170" s="156"/>
      <c r="W170" s="156">
        <f>837386/31</f>
        <v>27012.451612903227</v>
      </c>
      <c r="X170" s="156">
        <f>1133924/31</f>
        <v>36578.193548387098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x14ac:dyDescent="0.25">
      <c r="C171" s="182">
        <f t="shared" si="16"/>
        <v>2007.6666612000081</v>
      </c>
      <c r="D171" s="152">
        <v>39295</v>
      </c>
      <c r="E171" s="156">
        <f>24742/31</f>
        <v>798.12903225806451</v>
      </c>
      <c r="F171" s="156">
        <v>590.29032258064512</v>
      </c>
      <c r="G171" s="156">
        <v>947.35483870967744</v>
      </c>
      <c r="H171" s="156">
        <f>57029/31</f>
        <v>1839.6451612903227</v>
      </c>
      <c r="I171" s="156">
        <v>137.2258064516129</v>
      </c>
      <c r="J171" s="301">
        <f>89184/31</f>
        <v>2876.9032258064517</v>
      </c>
      <c r="K171" s="301"/>
      <c r="L171" s="156">
        <v>268.32258064516128</v>
      </c>
      <c r="M171" s="156">
        <f>411277/31</f>
        <v>13267</v>
      </c>
      <c r="N171" s="156"/>
      <c r="O171" s="156">
        <v>0.77419354838709675</v>
      </c>
      <c r="P171" s="156"/>
      <c r="Q171" s="156">
        <v>18.774193548387096</v>
      </c>
      <c r="R171" s="156">
        <v>54.29032258064516</v>
      </c>
      <c r="S171" s="156">
        <f>301436/31</f>
        <v>9723.7419354838712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27186.903225806451</v>
      </c>
      <c r="Y171" s="156"/>
      <c r="Z171" s="156"/>
      <c r="AA171" s="156">
        <v>671.09677419354841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x14ac:dyDescent="0.25">
      <c r="C172" s="182">
        <f t="shared" si="16"/>
        <v>2007.7499945000081</v>
      </c>
      <c r="D172" s="152">
        <v>39326</v>
      </c>
      <c r="E172" s="156">
        <f>25027/30</f>
        <v>834.23333333333335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301">
        <f>86428/30</f>
        <v>2880.9333333333334</v>
      </c>
      <c r="K172" s="301"/>
      <c r="L172" s="156">
        <f>8015/30</f>
        <v>267.16666666666669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x14ac:dyDescent="0.2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546.64516129032256</v>
      </c>
      <c r="G173" s="156">
        <f>40251/31</f>
        <v>1298.4193548387098</v>
      </c>
      <c r="H173" s="156">
        <f>60333/31</f>
        <v>1946.2258064516129</v>
      </c>
      <c r="I173" s="156">
        <v>165.35483870967741</v>
      </c>
      <c r="J173" s="301">
        <f>87919/31</f>
        <v>2836.0967741935483</v>
      </c>
      <c r="K173" s="301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42.612903225806448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x14ac:dyDescent="0.2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301">
        <f>84130/30</f>
        <v>2804.3333333333335</v>
      </c>
      <c r="K174" s="301"/>
      <c r="L174" s="156">
        <f>7857/30</f>
        <v>261.89999999999998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x14ac:dyDescent="0.2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674.93548387096769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301">
        <f>82208/31</f>
        <v>2651.8709677419356</v>
      </c>
      <c r="K175" s="301"/>
      <c r="L175" s="156">
        <f>7761/31</f>
        <v>250.35483870967741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927.25806451612902</v>
      </c>
      <c r="U175" s="156">
        <f>531766/31</f>
        <v>17153.741935483871</v>
      </c>
      <c r="V175" s="156"/>
      <c r="W175" s="156">
        <f>756499/31</f>
        <v>24403.193548387098</v>
      </c>
      <c r="X175" s="156">
        <f>1115578/31</f>
        <v>35986.387096774197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118235.77419354839</v>
      </c>
      <c r="AJ175" s="252">
        <f t="shared" si="18"/>
        <v>113869</v>
      </c>
    </row>
    <row r="176" spans="3:36" x14ac:dyDescent="0.25">
      <c r="C176" s="182">
        <f t="shared" si="16"/>
        <v>2008.0833277000083</v>
      </c>
      <c r="D176" s="152">
        <v>39448</v>
      </c>
      <c r="E176" s="156">
        <f>27460/31</f>
        <v>885.80645161290317</v>
      </c>
      <c r="F176" s="156">
        <f>19191/31</f>
        <v>619.06451612903231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301">
        <f>86419/31</f>
        <v>2787.7096774193546</v>
      </c>
      <c r="K176" s="301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944.32258064516134</v>
      </c>
      <c r="U176" s="156">
        <f>523996/31</f>
        <v>16903.096774193549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344.25806451612902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x14ac:dyDescent="0.25">
      <c r="C177" s="182">
        <f t="shared" si="16"/>
        <v>2008.1666610000084</v>
      </c>
      <c r="D177" s="152">
        <v>39479</v>
      </c>
      <c r="E177" s="156">
        <f>24932/29</f>
        <v>859.72413793103453</v>
      </c>
      <c r="F177" s="156">
        <f>18208/29</f>
        <v>627.86206896551721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301">
        <f>74593/29</f>
        <v>2572.1724137931033</v>
      </c>
      <c r="K177" s="301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19.931034482758619</v>
      </c>
      <c r="R177" s="155">
        <f>1189/29</f>
        <v>41</v>
      </c>
      <c r="S177" s="156">
        <f>311917/29</f>
        <v>10755.758620689656</v>
      </c>
      <c r="T177" s="156">
        <f>27704/29</f>
        <v>955.31034482758616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34713.448275862072</v>
      </c>
      <c r="Y177" s="156"/>
      <c r="Z177" s="156"/>
      <c r="AA177" s="156">
        <f>11246/29</f>
        <v>387.79310344827587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t="shared" ref="AJ177:AJ187" si="19">+AJ176</f>
        <v>120028</v>
      </c>
    </row>
    <row r="178" spans="3:36" x14ac:dyDescent="0.25">
      <c r="C178" s="182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8">
        <f>85577/31</f>
        <v>2760.5483870967741</v>
      </c>
      <c r="K178" s="298"/>
      <c r="L178" s="148">
        <v>253.64516129032259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252">
        <f t="shared" si="19"/>
        <v>120028</v>
      </c>
    </row>
    <row r="179" spans="3:36" x14ac:dyDescent="0.2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298">
        <f>82758/30</f>
        <v>2758.6</v>
      </c>
      <c r="K179" s="298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18.899999999999999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x14ac:dyDescent="0.2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301">
        <f>85851/31</f>
        <v>2769.3870967741937</v>
      </c>
      <c r="K180" s="301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38.967741935483872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x14ac:dyDescent="0.2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301">
        <f>87560/30</f>
        <v>2918.6666666666665</v>
      </c>
      <c r="K181" s="301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34.466666666666669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x14ac:dyDescent="0.25">
      <c r="C182" s="182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301">
        <f>88738/31</f>
        <v>2862.516129032258</v>
      </c>
      <c r="K182" s="301"/>
      <c r="L182" s="148">
        <v>274.87096774193549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x14ac:dyDescent="0.25">
      <c r="C183" s="182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298">
        <f>88926/31</f>
        <v>2868.5806451612902</v>
      </c>
      <c r="K183" s="298"/>
      <c r="L183" s="148">
        <v>271.54838709677421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x14ac:dyDescent="0.2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298">
        <f>86401/30</f>
        <v>2880.0333333333333</v>
      </c>
      <c r="K184" s="298"/>
      <c r="L184" s="148">
        <v>267.36666666666667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x14ac:dyDescent="0.2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8">
        <v>2812</v>
      </c>
      <c r="K185" s="298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252">
        <f t="shared" si="19"/>
        <v>120028</v>
      </c>
    </row>
    <row r="186" spans="3:36" x14ac:dyDescent="0.2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298">
        <f>80326/30</f>
        <v>2677.5333333333333</v>
      </c>
      <c r="K186" s="298"/>
      <c r="L186" s="148">
        <f>8778/30</f>
        <v>292.60000000000002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x14ac:dyDescent="0.25">
      <c r="C187" s="182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298">
        <f>79547/31</f>
        <v>2566.0322580645161</v>
      </c>
      <c r="K187" s="298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x14ac:dyDescent="0.25">
      <c r="C188" s="182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298">
        <f>84836/31</f>
        <v>2736.6451612903224</v>
      </c>
      <c r="K188" s="298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252">
        <v>145280</v>
      </c>
    </row>
    <row r="189" spans="3:36" x14ac:dyDescent="0.25">
      <c r="C189" s="182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298">
        <f>77894/28</f>
        <v>2781.9285714285716</v>
      </c>
      <c r="K189" s="298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252">
        <f t="shared" ref="AJ189:AJ207" si="21">+AJ188</f>
        <v>145280</v>
      </c>
    </row>
    <row r="190" spans="3:36" x14ac:dyDescent="0.25">
      <c r="C190" s="182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298">
        <f>85996/31</f>
        <v>2774.0645161290322</v>
      </c>
      <c r="K190" s="298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x14ac:dyDescent="0.25">
      <c r="C191" s="182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298">
        <f>79835/30</f>
        <v>2661.1666666666665</v>
      </c>
      <c r="K191" s="298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x14ac:dyDescent="0.25">
      <c r="C192" s="182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298">
        <f>85955/31</f>
        <v>2772.7419354838707</v>
      </c>
      <c r="K192" s="298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63" x14ac:dyDescent="0.2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298">
        <f>83911/30</f>
        <v>2797.0333333333333</v>
      </c>
      <c r="K193" s="298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63" x14ac:dyDescent="0.25">
      <c r="C194" s="182">
        <f t="shared" si="20"/>
        <v>2009.5833271000092</v>
      </c>
      <c r="D194" s="152">
        <v>39995</v>
      </c>
      <c r="E194" s="148">
        <f>24682/31</f>
        <v>796.19354838709683</v>
      </c>
      <c r="F194" s="158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8">
        <f>84624/31</f>
        <v>2729.8064516129034</v>
      </c>
      <c r="K194" s="298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63" x14ac:dyDescent="0.25">
      <c r="C195" s="182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8">
        <f>90419/31</f>
        <v>2916.7419354838707</v>
      </c>
      <c r="K195" s="298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252">
        <f t="shared" si="21"/>
        <v>145280</v>
      </c>
    </row>
    <row r="196" spans="3:63" x14ac:dyDescent="0.25">
      <c r="C196" s="182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298">
        <f>90750/30</f>
        <v>3025</v>
      </c>
      <c r="K196" s="298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63" x14ac:dyDescent="0.25">
      <c r="C197" s="182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298">
        <f>107300/31</f>
        <v>3461.2903225806454</v>
      </c>
      <c r="K197" s="298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63" x14ac:dyDescent="0.25">
      <c r="C198" s="182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8">
        <f>108534/30</f>
        <v>3617.8</v>
      </c>
      <c r="K198" s="298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63" x14ac:dyDescent="0.25">
      <c r="C199" s="182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298">
        <f>103950/31</f>
        <v>3353.2258064516127</v>
      </c>
      <c r="K199" s="298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252">
        <f t="shared" si="21"/>
        <v>145280</v>
      </c>
    </row>
    <row r="200" spans="3:63" x14ac:dyDescent="0.25">
      <c r="C200" s="182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298">
        <f>120268/31</f>
        <v>3879.6129032258063</v>
      </c>
      <c r="K200" s="298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63" s="138" customFormat="1" x14ac:dyDescent="0.25">
      <c r="C201" s="182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8">
        <f>93325/28</f>
        <v>3333.0357142857142</v>
      </c>
      <c r="K201" s="298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63" s="138" customFormat="1" x14ac:dyDescent="0.25">
      <c r="C202" s="182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298">
        <f>109834/31</f>
        <v>3543.0322580645161</v>
      </c>
      <c r="K202" s="298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63" s="138" customFormat="1" x14ac:dyDescent="0.25">
      <c r="C203" s="182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298">
        <f>110030/30</f>
        <v>3667.6666666666665</v>
      </c>
      <c r="K203" s="298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254">
        <f t="shared" si="21"/>
        <v>157159</v>
      </c>
    </row>
    <row r="204" spans="3:63" x14ac:dyDescent="0.25">
      <c r="C204" s="182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298">
        <f>97085/31</f>
        <v>3131.7741935483873</v>
      </c>
      <c r="K204" s="298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63" x14ac:dyDescent="0.2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298">
        <f>106530/30</f>
        <v>3551</v>
      </c>
      <c r="K205" s="298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254">
        <f t="shared" si="21"/>
        <v>157159</v>
      </c>
    </row>
    <row r="206" spans="3:63" x14ac:dyDescent="0.25">
      <c r="C206" s="182">
        <f t="shared" ref="C206:C269" si="22">+C205+0.0833333</f>
        <v>2010.5833267000098</v>
      </c>
      <c r="D206" s="152">
        <v>40360</v>
      </c>
      <c r="E206" s="161">
        <f>33330/31</f>
        <v>1075.1612903225807</v>
      </c>
      <c r="F206" s="161">
        <v>575.70967741935488</v>
      </c>
      <c r="G206" s="161">
        <f>65941/31</f>
        <v>2127.1290322580644</v>
      </c>
      <c r="H206" s="161">
        <v>939.22580645161293</v>
      </c>
      <c r="I206" s="161">
        <v>195.7741935483871</v>
      </c>
      <c r="J206" s="298">
        <f>91473/31</f>
        <v>2950.7419354838707</v>
      </c>
      <c r="K206" s="298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4435.9677419354839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333.58064516129031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157015.80645161291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5">
      <c r="C207" s="182">
        <f t="shared" si="22"/>
        <v>2010.6666600000099</v>
      </c>
      <c r="D207" s="152">
        <v>40391</v>
      </c>
      <c r="E207" s="161">
        <v>972.25806451612902</v>
      </c>
      <c r="F207" s="161">
        <f>17801/31</f>
        <v>574.22580645161293</v>
      </c>
      <c r="G207" s="161">
        <f>69904/31</f>
        <v>2254.9677419354839</v>
      </c>
      <c r="H207" s="161">
        <f>29581/31</f>
        <v>954.22580645161293</v>
      </c>
      <c r="I207" s="161">
        <f>6124/31</f>
        <v>197.54838709677421</v>
      </c>
      <c r="J207" s="298">
        <f>81817/31</f>
        <v>2639.2580645161293</v>
      </c>
      <c r="K207" s="298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19058.806451612902</v>
      </c>
      <c r="X207" s="161">
        <f>1548446/31</f>
        <v>49949.870967741932</v>
      </c>
      <c r="Y207" s="161">
        <f>1026096/31</f>
        <v>33099.870967741932</v>
      </c>
      <c r="Z207" s="161"/>
      <c r="AA207" s="161">
        <f>11781/31</f>
        <v>380.03225806451616</v>
      </c>
      <c r="AB207" s="161">
        <f>2959/31</f>
        <v>95.451612903225808</v>
      </c>
      <c r="AC207" s="161">
        <f>80415/31</f>
        <v>2594.0322580645161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5">
      <c r="C208" s="182">
        <f t="shared" si="22"/>
        <v>2010.7499933000099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940.56666666666672</v>
      </c>
      <c r="I208" s="161">
        <v>178.63333333333333</v>
      </c>
      <c r="J208" s="298">
        <f>80223/30</f>
        <v>2674.1</v>
      </c>
      <c r="K208" s="298"/>
      <c r="L208" s="161">
        <v>245.9</v>
      </c>
      <c r="M208" s="161">
        <f>396069/30</f>
        <v>13202.3</v>
      </c>
      <c r="N208" s="161"/>
      <c r="O208" s="161">
        <f>117277/30</f>
        <v>3909.2333333333331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6548.7666666666664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33191.199999999997</v>
      </c>
      <c r="Z208" s="161"/>
      <c r="AA208" s="161">
        <v>289.3</v>
      </c>
      <c r="AB208" s="161">
        <v>96.13333333333334</v>
      </c>
      <c r="AC208" s="161">
        <f>63936/30</f>
        <v>2131.1999999999998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8">
        <f>87966/31</f>
        <v>2837.6129032258063</v>
      </c>
      <c r="K209" s="298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52.322580645161288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17957.806451612902</v>
      </c>
      <c r="X209" s="161">
        <f>1503939/31</f>
        <v>48514.161290322583</v>
      </c>
      <c r="Y209" s="161">
        <f>1045986/31</f>
        <v>33741.483870967742</v>
      </c>
      <c r="Z209" s="161"/>
      <c r="AA209" s="161">
        <v>318.41935483870969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581.76666666666665</v>
      </c>
      <c r="G210" s="161">
        <f>106206/30</f>
        <v>3540.2</v>
      </c>
      <c r="H210" s="161">
        <v>953.1</v>
      </c>
      <c r="I210" s="161">
        <v>182.66666666666666</v>
      </c>
      <c r="J210" s="298">
        <f>87026/30</f>
        <v>2900.8666666666668</v>
      </c>
      <c r="K210" s="298"/>
      <c r="L210" s="161">
        <v>233.2</v>
      </c>
      <c r="M210" s="161">
        <f>394580/30</f>
        <v>13152.666666666666</v>
      </c>
      <c r="N210" s="161"/>
      <c r="O210" s="161">
        <f>95464/30</f>
        <v>3182.1333333333332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4339.4666666666662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35258.633333333331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63" x14ac:dyDescent="0.25">
      <c r="C211" s="182">
        <f t="shared" si="22"/>
        <v>2010.9999932000101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8">
        <v>2743</v>
      </c>
      <c r="K211" s="298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63" x14ac:dyDescent="0.25">
      <c r="C212" s="182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298">
        <f>84980/31</f>
        <v>2741.2903225806454</v>
      </c>
      <c r="K212" s="298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254">
        <v>152716</v>
      </c>
    </row>
    <row r="213" spans="3:63" x14ac:dyDescent="0.25">
      <c r="C213" s="182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298">
        <f>81774/28</f>
        <v>2920.5</v>
      </c>
      <c r="K213" s="298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63" x14ac:dyDescent="0.2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298">
        <f>87762/31</f>
        <v>2831.0322580645161</v>
      </c>
      <c r="K214" s="298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t="shared" ref="AK214:AK220" si="24">+AI214-AI213</f>
        <v>2466.1440092166304</v>
      </c>
    </row>
    <row r="215" spans="3:63" x14ac:dyDescent="0.2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8">
        <f>82573/30</f>
        <v>2752.4333333333334</v>
      </c>
      <c r="K215" s="298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t="shared" ref="AJ215:AJ223" si="25">+AJ214</f>
        <v>152716</v>
      </c>
      <c r="AK215" s="138">
        <f t="shared" si="24"/>
        <v>-4833.489247311838</v>
      </c>
    </row>
    <row r="216" spans="3:63" x14ac:dyDescent="0.2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8">
        <v>2798</v>
      </c>
      <c r="K216" s="298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63" x14ac:dyDescent="0.2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8">
        <f>88734/30</f>
        <v>2957.8</v>
      </c>
      <c r="K217" s="298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298">
        <f>94911/31</f>
        <v>3061.6451612903224</v>
      </c>
      <c r="K218" s="298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5">
      <c r="C219" s="182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298">
        <f>97382/31</f>
        <v>3141.3548387096776</v>
      </c>
      <c r="K219" s="298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298">
        <f>97457/30</f>
        <v>3248.5666666666666</v>
      </c>
      <c r="K220" s="298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5">
      <c r="C221" s="182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8">
        <f>99680/31</f>
        <v>3215.483870967742</v>
      </c>
      <c r="K221" s="298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298">
        <f>104127/30</f>
        <v>3470.9</v>
      </c>
      <c r="K222" s="298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8" thickBot="1" x14ac:dyDescent="0.3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469.87096774193549</v>
      </c>
      <c r="G223" s="162">
        <v>3234.2258064516127</v>
      </c>
      <c r="H223" s="162">
        <v>830.51612903225805</v>
      </c>
      <c r="I223" s="162">
        <v>162.83870967741936</v>
      </c>
      <c r="J223" s="299">
        <v>3436</v>
      </c>
      <c r="K223" s="299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9883.5483870967746</v>
      </c>
      <c r="V223" s="162"/>
      <c r="W223" s="162">
        <v>16629.193548387098</v>
      </c>
      <c r="X223" s="162">
        <v>36491.419354838712</v>
      </c>
      <c r="Y223" s="162">
        <v>39760.870967741932</v>
      </c>
      <c r="Z223" s="162"/>
      <c r="AA223" s="162">
        <v>443.93548387096774</v>
      </c>
      <c r="AB223" s="162">
        <v>113.87096774193549</v>
      </c>
      <c r="AC223" s="162">
        <v>2495.0322580645161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5">
      <c r="C224" s="182">
        <f t="shared" si="22"/>
        <v>2012.0833261000107</v>
      </c>
      <c r="D224" s="152">
        <v>40909</v>
      </c>
      <c r="E224" s="163">
        <v>1078.0322580645161</v>
      </c>
      <c r="F224" s="164">
        <v>471.90322580645159</v>
      </c>
      <c r="G224" s="164">
        <v>2785.7741935483873</v>
      </c>
      <c r="H224" s="164">
        <v>824.25806451612902</v>
      </c>
      <c r="I224" s="164">
        <v>157.48387096774192</v>
      </c>
      <c r="J224" s="300">
        <v>3291.6451612903202</v>
      </c>
      <c r="K224" s="300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33177.258064516129</v>
      </c>
      <c r="Z224" s="164"/>
      <c r="AA224" s="164">
        <v>370.54838709677421</v>
      </c>
      <c r="AB224" s="164">
        <v>80.870967741935488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298">
        <f>83102/29</f>
        <v>2865.5862068965516</v>
      </c>
      <c r="K225" s="298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8">
        <f>99764/31</f>
        <v>3218.1935483870966</v>
      </c>
      <c r="K226" s="298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298">
        <v>3018.4333333333334</v>
      </c>
      <c r="K227" s="298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5">
      <c r="C228" s="182">
        <f t="shared" si="22"/>
        <v>2012.4166593000109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298">
        <v>3254.4193548387102</v>
      </c>
      <c r="K228" s="298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8">
        <v>3280.2</v>
      </c>
      <c r="K229" s="298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298">
        <v>3272.1612903225805</v>
      </c>
      <c r="K230" s="298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5">
      <c r="C231" s="182">
        <f t="shared" si="22"/>
        <v>2012.6666592000111</v>
      </c>
      <c r="D231" s="152">
        <v>41122</v>
      </c>
      <c r="E231" s="165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298">
        <v>3518.0322580645202</v>
      </c>
      <c r="K231" s="298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5">
      <c r="C232" s="182">
        <f t="shared" si="22"/>
        <v>2012.7499925000111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8">
        <v>3496</v>
      </c>
      <c r="K232" s="298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5">
      <c r="C233" s="182">
        <f t="shared" si="22"/>
        <v>2012.8333258000112</v>
      </c>
      <c r="D233" s="152">
        <v>41183</v>
      </c>
      <c r="E233" s="165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298">
        <f>113288/31</f>
        <v>3654.4516129032259</v>
      </c>
      <c r="K233" s="298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8">
        <v>3587</v>
      </c>
      <c r="K234" s="298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750.80645161290317</v>
      </c>
      <c r="I235" s="162">
        <v>147.25806451612902</v>
      </c>
      <c r="J235" s="299">
        <v>3640.741935</v>
      </c>
      <c r="K235" s="299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92.483870967741936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8955.4838709677424</v>
      </c>
      <c r="V235" s="162"/>
      <c r="W235" s="162">
        <v>15099.451612903225</v>
      </c>
      <c r="X235" s="162">
        <v>60833.161290322583</v>
      </c>
      <c r="Y235" s="162">
        <v>35531.870967741932</v>
      </c>
      <c r="Z235" s="162"/>
      <c r="AA235" s="162">
        <v>302.12903225806451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-304.96774241933599</v>
      </c>
    </row>
    <row r="236" spans="3:44" x14ac:dyDescent="0.2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299">
        <f>104345/31</f>
        <v>3365.9677419354839</v>
      </c>
      <c r="K236" s="299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747.00000048385118</v>
      </c>
    </row>
    <row r="237" spans="3:44" x14ac:dyDescent="0.2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299">
        <f>98920/28</f>
        <v>3532.8571428571427</v>
      </c>
      <c r="K237" s="29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252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9">
        <f>93904/31</f>
        <v>3029.1612903225805</v>
      </c>
      <c r="K238" s="299"/>
      <c r="L238" s="148">
        <f>6524/31</f>
        <v>210.45161290322579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1">
        <f>1277480/31</f>
        <v>41209.032258064515</v>
      </c>
      <c r="Z238" s="161"/>
      <c r="AA238" s="161">
        <v>383.41935483870969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404.54838709677421</v>
      </c>
      <c r="AH238" s="161"/>
      <c r="AI238" s="148">
        <f t="shared" ref="AI238:AI252" si="30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44" x14ac:dyDescent="0.2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716.43333333333328</v>
      </c>
      <c r="I239" s="155">
        <f>3585/30</f>
        <v>119.5</v>
      </c>
      <c r="J239" s="294">
        <f>95861/30</f>
        <v>3195.3666666666668</v>
      </c>
      <c r="K239" s="295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4038.2333333333331</v>
      </c>
      <c r="P239" s="155"/>
      <c r="Q239" s="155">
        <f>2672/30</f>
        <v>89.066666666666663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9345.2666666666664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76.666666666666671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44" ht="13.5" customHeight="1" x14ac:dyDescent="0.25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703.09677419354841</v>
      </c>
      <c r="I240" s="157">
        <f>3925/31</f>
        <v>126.61290322580645</v>
      </c>
      <c r="J240" s="294">
        <f>109894/31</f>
        <v>3544.9677419354839</v>
      </c>
      <c r="K240" s="295"/>
      <c r="L240" s="155">
        <f>6351/31</f>
        <v>204.87096774193549</v>
      </c>
      <c r="M240" s="156">
        <f>388960/31</f>
        <v>12547.096774193549</v>
      </c>
      <c r="N240" s="156"/>
      <c r="O240" s="156">
        <f>136474/31</f>
        <v>4402.3870967741932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2130.0645161290322</v>
      </c>
      <c r="U240" s="168">
        <f>327381/31</f>
        <v>10560.677419354839</v>
      </c>
      <c r="V240" s="168"/>
      <c r="W240" s="168">
        <f>454705/31</f>
        <v>14667.903225806451</v>
      </c>
      <c r="X240" s="168">
        <f>1987288/31</f>
        <v>64106.06451612903</v>
      </c>
      <c r="Y240" s="168">
        <f>1210405/31</f>
        <v>39045.322580645159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164.45161290322579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9" x14ac:dyDescent="0.2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742.16666666666663</v>
      </c>
      <c r="I241" s="156">
        <f>3841/30</f>
        <v>128.03333333333333</v>
      </c>
      <c r="J241" s="294">
        <f>92416/30</f>
        <v>3080.5333333333333</v>
      </c>
      <c r="K241" s="295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5201.5333333333338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9896.0333333333328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2523.3666666666668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9" x14ac:dyDescent="0.2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562.38709677419354</v>
      </c>
      <c r="I242" s="156">
        <f>4505/31</f>
        <v>145.32258064516128</v>
      </c>
      <c r="J242" s="294">
        <f>112945/31</f>
        <v>3643.3870967741937</v>
      </c>
      <c r="K242" s="295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88.225806451612897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9517.5161290322576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263.41935483870969</v>
      </c>
      <c r="AB242" s="168">
        <v>92.129032258064512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-8089.1301075269585</v>
      </c>
    </row>
    <row r="243" spans="3:39" x14ac:dyDescent="0.2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437.74193548387098</v>
      </c>
      <c r="G243" s="156">
        <f>61100/31</f>
        <v>1970.9677419354839</v>
      </c>
      <c r="H243" s="156">
        <f>28127/31</f>
        <v>907.32258064516134</v>
      </c>
      <c r="I243" s="156">
        <f>4088/31</f>
        <v>131.87096774193549</v>
      </c>
      <c r="J243" s="294">
        <f>115529/31</f>
        <v>3726.7419354838707</v>
      </c>
      <c r="K243" s="295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85.774193548387103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9667.4516129032254</v>
      </c>
      <c r="V243" s="168"/>
      <c r="W243" s="168">
        <f>471975/31</f>
        <v>15225</v>
      </c>
      <c r="X243" s="168">
        <f>2082905/31</f>
        <v>67190.483870967742</v>
      </c>
      <c r="Y243" s="168">
        <f>1181110/31</f>
        <v>38100.322580645159</v>
      </c>
      <c r="Z243" s="168"/>
      <c r="AA243" s="168">
        <v>373.09677419354841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x14ac:dyDescent="0.2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4">
        <f>111777/30</f>
        <v>3725.9</v>
      </c>
      <c r="K244" s="295"/>
      <c r="L244" s="156">
        <v>206.2</v>
      </c>
      <c r="M244" s="156">
        <f>289230/30</f>
        <v>9641</v>
      </c>
      <c r="N244" s="156"/>
      <c r="O244" s="156">
        <f>181478/30</f>
        <v>6049.2666666666664</v>
      </c>
      <c r="P244" s="156"/>
      <c r="Q244" s="156">
        <v>88.466666666666669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8753.7999999999993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2214.3666666666668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430.22580645161293</v>
      </c>
      <c r="G245" s="156">
        <f>52513/31</f>
        <v>1693.9677419354839</v>
      </c>
      <c r="H245" s="156">
        <f>21460/31</f>
        <v>692.25806451612902</v>
      </c>
      <c r="I245" s="156">
        <f>4285/31</f>
        <v>138.2258064516129</v>
      </c>
      <c r="J245" s="294">
        <f>110419/31</f>
        <v>3561.9032258064517</v>
      </c>
      <c r="K245" s="295"/>
      <c r="L245" s="156">
        <f>6326/31</f>
        <v>204.06451612903226</v>
      </c>
      <c r="M245" s="156">
        <f>293206/31</f>
        <v>9458.2580645161288</v>
      </c>
      <c r="N245" s="156"/>
      <c r="O245" s="156">
        <f>158448/31</f>
        <v>5111.2258064516127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999.19354838709683</v>
      </c>
      <c r="U245" s="168">
        <f>309727/31</f>
        <v>9991.1935483870966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285.90322580645159</v>
      </c>
      <c r="AB245" s="168">
        <v>97.612903225806448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4">
        <f>105792/30</f>
        <v>3526.4</v>
      </c>
      <c r="K246" s="295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3829.6333333333332</v>
      </c>
      <c r="U246" s="161">
        <f>296319/30</f>
        <v>9877.2999999999993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36941.466666666667</v>
      </c>
      <c r="Z246" s="161"/>
      <c r="AA246" s="161">
        <v>209.96666666666667</v>
      </c>
      <c r="AB246" s="161">
        <v>90.833333333333329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9" x14ac:dyDescent="0.2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434.54838709677421</v>
      </c>
      <c r="G247" s="156">
        <f>65913/31</f>
        <v>2126.2258064516127</v>
      </c>
      <c r="H247" s="156">
        <f>20252/31</f>
        <v>653.29032258064512</v>
      </c>
      <c r="I247" s="156">
        <f>4072/31</f>
        <v>131.35483870967741</v>
      </c>
      <c r="J247" s="294">
        <f>110534/31</f>
        <v>3565.6129032258063</v>
      </c>
      <c r="K247" s="295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7099.2580645161288</v>
      </c>
      <c r="P247" s="155"/>
      <c r="Q247" s="156">
        <f>2547/31</f>
        <v>82.161290322580641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37645.838709677417</v>
      </c>
      <c r="Z247" s="161"/>
      <c r="AA247" s="161">
        <v>400.96774193548384</v>
      </c>
      <c r="AB247" s="161">
        <v>125.64516129032258</v>
      </c>
      <c r="AC247" s="161">
        <f>72325/31</f>
        <v>2333.0645161290322</v>
      </c>
      <c r="AD247" s="161">
        <v>463.32258064516128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9" x14ac:dyDescent="0.25">
      <c r="C248" s="182">
        <f t="shared" si="22"/>
        <v>2014.0833253000119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680.19354838709683</v>
      </c>
      <c r="I248" s="172">
        <f>4005/31</f>
        <v>129.19354838709677</v>
      </c>
      <c r="J248" s="296">
        <f>110291/31</f>
        <v>3557.7741935483873</v>
      </c>
      <c r="K248" s="29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7579.7096774193551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52452.870967741932</v>
      </c>
      <c r="Y248" s="172">
        <f>1133917/31</f>
        <v>36577.967741935485</v>
      </c>
      <c r="Z248" s="172"/>
      <c r="AA248" s="172">
        <v>226.41935483870967</v>
      </c>
      <c r="AB248" s="172">
        <v>86.935483870967744</v>
      </c>
      <c r="AC248" s="172">
        <f>67456/31</f>
        <v>2176</v>
      </c>
      <c r="AD248" s="172">
        <f>42864/31</f>
        <v>1382.7096774193549</v>
      </c>
      <c r="AE248" s="172">
        <v>70.354838709677423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9" x14ac:dyDescent="0.25">
      <c r="C249" s="182">
        <f t="shared" si="22"/>
        <v>2014.1666586000119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685.28571428571433</v>
      </c>
      <c r="I249" s="172">
        <f>3547/28</f>
        <v>126.67857142857143</v>
      </c>
      <c r="J249" s="296">
        <f>101369/28</f>
        <v>3620.3214285714284</v>
      </c>
      <c r="K249" s="297"/>
      <c r="L249" s="172">
        <f>5722/28</f>
        <v>204.35714285714286</v>
      </c>
      <c r="M249" s="172">
        <f>293739/28</f>
        <v>10490.678571428571</v>
      </c>
      <c r="N249" s="172"/>
      <c r="O249" s="172">
        <f>185497/28</f>
        <v>6624.8928571428569</v>
      </c>
      <c r="P249" s="172"/>
      <c r="Q249" s="172">
        <f>1952/28</f>
        <v>69.714285714285708</v>
      </c>
      <c r="R249" s="172">
        <f>831/28</f>
        <v>29.678571428571427</v>
      </c>
      <c r="S249" s="173">
        <f>+(270203+36010)/28</f>
        <v>10936.178571428571</v>
      </c>
      <c r="T249" s="173">
        <f>198440/28</f>
        <v>7087.1428571428569</v>
      </c>
      <c r="U249" s="173">
        <f>273846/28</f>
        <v>9780.2142857142862</v>
      </c>
      <c r="V249" s="173"/>
      <c r="W249" s="173">
        <f>406684/28</f>
        <v>14524.428571428571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303.96428571428572</v>
      </c>
      <c r="AB249" s="173">
        <v>78.607142857142861</v>
      </c>
      <c r="AC249" s="173">
        <f>60777/28</f>
        <v>2170.6071428571427</v>
      </c>
      <c r="AD249" s="173">
        <f>94887/28</f>
        <v>3388.8214285714284</v>
      </c>
      <c r="AE249" s="173">
        <v>409.53571428571428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17354.791474654339</v>
      </c>
    </row>
    <row r="250" spans="3:39" x14ac:dyDescent="0.2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668.54838709677415</v>
      </c>
      <c r="I250" s="172">
        <v>129.12903225806451</v>
      </c>
      <c r="J250" s="296">
        <f>112963/31</f>
        <v>3643.9677419354839</v>
      </c>
      <c r="K250" s="29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7085.0967741935483</v>
      </c>
      <c r="P250" s="172"/>
      <c r="Q250" s="172">
        <f>2452/31</f>
        <v>79.096774193548384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5222.8064516129034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62449.193548387098</v>
      </c>
      <c r="Y250" s="173">
        <f>1238318/31</f>
        <v>39945.741935483871</v>
      </c>
      <c r="Z250" s="173">
        <f>37922/31</f>
        <v>1223.2903225806451</v>
      </c>
      <c r="AA250" s="173">
        <v>297.87096774193549</v>
      </c>
      <c r="AB250" s="173">
        <v>79.967741935483872</v>
      </c>
      <c r="AC250" s="173">
        <f>74828/31</f>
        <v>2413.8064516129034</v>
      </c>
      <c r="AD250" s="173">
        <f>142463/31</f>
        <v>4595.5806451612907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6865.0472350231139</v>
      </c>
    </row>
    <row r="251" spans="3:39" x14ac:dyDescent="0.2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96">
        <f>108338/30</f>
        <v>3611.2666666666669</v>
      </c>
      <c r="K251" s="29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7063.7333333333336</v>
      </c>
      <c r="P251" s="172"/>
      <c r="Q251" s="172">
        <f>2127/30</f>
        <v>70.900000000000006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3638.3666666666668</v>
      </c>
      <c r="U251" s="173">
        <f>297202/30</f>
        <v>9906.7333333333336</v>
      </c>
      <c r="V251" s="173"/>
      <c r="W251" s="173">
        <f>336532/30</f>
        <v>11217.733333333334</v>
      </c>
      <c r="X251" s="173">
        <f>1764624/30</f>
        <v>58820.800000000003</v>
      </c>
      <c r="Y251" s="173">
        <f>1247820/30</f>
        <v>41594</v>
      </c>
      <c r="Z251" s="173">
        <f>195137/30</f>
        <v>6504.5666666666666</v>
      </c>
      <c r="AA251" s="173">
        <v>329.46666666666664</v>
      </c>
      <c r="AB251" s="173">
        <v>99.4</v>
      </c>
      <c r="AC251" s="173">
        <f>67477/30</f>
        <v>2249.2333333333331</v>
      </c>
      <c r="AD251" s="173">
        <f>153991/30</f>
        <v>5133.0333333333338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-2993.0924731182749</v>
      </c>
    </row>
    <row r="252" spans="3:39" x14ac:dyDescent="0.25">
      <c r="C252" s="182">
        <f t="shared" si="22"/>
        <v>2014.4166585000121</v>
      </c>
      <c r="D252" s="136">
        <v>41760</v>
      </c>
      <c r="E252" s="172">
        <f>43335/31</f>
        <v>1397.9032258064517</v>
      </c>
      <c r="F252" s="172">
        <f>12073/31</f>
        <v>389.45161290322579</v>
      </c>
      <c r="G252" s="172">
        <f>44466/31</f>
        <v>1434.3870967741937</v>
      </c>
      <c r="H252" s="172">
        <f>19050/31</f>
        <v>614.51612903225805</v>
      </c>
      <c r="I252" s="172">
        <f>3807/31</f>
        <v>122.80645161290323</v>
      </c>
      <c r="J252" s="296">
        <f>109035/31</f>
        <v>3517.2580645161293</v>
      </c>
      <c r="K252" s="29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67.193548387096769</v>
      </c>
      <c r="R252" s="172">
        <f>725/31</f>
        <v>23.387096774193548</v>
      </c>
      <c r="S252" s="173">
        <f>+(337789+43167)/31</f>
        <v>12288.903225806451</v>
      </c>
      <c r="T252" s="173">
        <f>154337/31</f>
        <v>4978.6129032258068</v>
      </c>
      <c r="U252" s="173">
        <f>300212/31</f>
        <v>9684.2580645161288</v>
      </c>
      <c r="V252" s="173"/>
      <c r="W252" s="173">
        <f>418425/31</f>
        <v>13497.58064516129</v>
      </c>
      <c r="X252" s="173">
        <f>1770179/31</f>
        <v>57102.548387096773</v>
      </c>
      <c r="Y252" s="173">
        <f>1162245/31</f>
        <v>37491.774193548386</v>
      </c>
      <c r="Z252" s="173">
        <f>181328/31</f>
        <v>5849.2903225806449</v>
      </c>
      <c r="AA252" s="173">
        <v>256.29032258064518</v>
      </c>
      <c r="AB252" s="173">
        <v>107.25806451612904</v>
      </c>
      <c r="AC252" s="173">
        <f>72581/31</f>
        <v>2341.3225806451615</v>
      </c>
      <c r="AD252" s="173">
        <f>163900/31</f>
        <v>5287.0967741935483</v>
      </c>
      <c r="AE252" s="173"/>
      <c r="AF252" s="173"/>
      <c r="AG252" s="173"/>
      <c r="AH252" s="173"/>
      <c r="AI252" s="148">
        <f t="shared" si="30"/>
        <v>173546.25806451609</v>
      </c>
      <c r="AJ252" s="252">
        <f>+AJ251</f>
        <v>172730.52328767124</v>
      </c>
      <c r="AK252" s="138">
        <f t="shared" si="28"/>
        <v>-4336.8752688172681</v>
      </c>
    </row>
    <row r="253" spans="3:39" x14ac:dyDescent="0.2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96">
        <v>3547</v>
      </c>
      <c r="K253" s="29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t="shared" ref="AI253:AI266" si="31">SUM(E253:AH253)</f>
        <v>168850</v>
      </c>
      <c r="AJ253" s="252">
        <f>+AJ252</f>
        <v>172730.52328767124</v>
      </c>
      <c r="AK253" s="138">
        <f t="shared" si="28"/>
        <v>-4696.2580645160924</v>
      </c>
    </row>
    <row r="254" spans="3:39" x14ac:dyDescent="0.2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720.45161290322585</v>
      </c>
      <c r="I254" s="172">
        <v>129.64516129032259</v>
      </c>
      <c r="J254" s="296">
        <v>3668.6129032258063</v>
      </c>
      <c r="K254" s="29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69.451612903225808</v>
      </c>
      <c r="R254" s="172">
        <v>22.322580645161292</v>
      </c>
      <c r="S254" s="173">
        <v>12034.58064516129</v>
      </c>
      <c r="T254" s="173">
        <v>4460.0967741935483</v>
      </c>
      <c r="U254" s="173">
        <v>8279.5161290322576</v>
      </c>
      <c r="V254" s="173"/>
      <c r="W254" s="173">
        <v>13959.032258064517</v>
      </c>
      <c r="X254" s="173">
        <v>59400.193548387098</v>
      </c>
      <c r="Y254" s="173">
        <v>34352.870967741932</v>
      </c>
      <c r="Z254" s="173">
        <v>8225.7419354838712</v>
      </c>
      <c r="AA254" s="173">
        <v>389.22580645161293</v>
      </c>
      <c r="AB254" s="173">
        <v>90.677419354838705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173862.77419354839</v>
      </c>
      <c r="AJ254" s="252">
        <f t="shared" ref="AJ254:AJ259" si="32">+AJ253</f>
        <v>172730.52328767124</v>
      </c>
      <c r="AK254" s="138">
        <f t="shared" si="28"/>
        <v>5012.7741935483937</v>
      </c>
    </row>
    <row r="255" spans="3:39" x14ac:dyDescent="0.2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380.67741935483872</v>
      </c>
      <c r="G255" s="172">
        <v>1568.1290322580646</v>
      </c>
      <c r="H255" s="172">
        <v>685.0322580645161</v>
      </c>
      <c r="I255" s="172">
        <v>127.03225806451613</v>
      </c>
      <c r="J255" s="296">
        <v>3622.1612903225805</v>
      </c>
      <c r="K255" s="29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66.645161290322577</v>
      </c>
      <c r="R255" s="172">
        <v>21.774193548387096</v>
      </c>
      <c r="S255" s="173">
        <v>11472.870967741936</v>
      </c>
      <c r="T255" s="173">
        <v>4686.9354838709678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2214.0645161290322</v>
      </c>
      <c r="AD255" s="173">
        <v>6099.2258064516127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9" x14ac:dyDescent="0.2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96">
        <v>3566</v>
      </c>
      <c r="K256" s="29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6637.3870967741823</v>
      </c>
    </row>
    <row r="257" spans="3:37" x14ac:dyDescent="0.2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96">
        <v>3564</v>
      </c>
      <c r="K257" s="29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x14ac:dyDescent="0.2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684.83333333333337</v>
      </c>
      <c r="I258" s="172">
        <v>136.16666666666666</v>
      </c>
      <c r="J258" s="296">
        <v>3483.9666666666667</v>
      </c>
      <c r="K258" s="29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5451.7666666666664</v>
      </c>
      <c r="U258" s="173">
        <v>9420.4</v>
      </c>
      <c r="V258" s="173"/>
      <c r="W258" s="173">
        <v>10942.966666666667</v>
      </c>
      <c r="X258" s="173">
        <v>56420.033333333333</v>
      </c>
      <c r="Y258" s="173">
        <v>41538.199999999997</v>
      </c>
      <c r="Z258" s="173">
        <v>6628.0666666666666</v>
      </c>
      <c r="AA258" s="173">
        <v>381.6</v>
      </c>
      <c r="AB258" s="173">
        <v>39.266666666666666</v>
      </c>
      <c r="AC258" s="173">
        <v>1941.4</v>
      </c>
      <c r="AD258" s="173">
        <v>6399.9666666666662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 x14ac:dyDescent="0.25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369.54838709677421</v>
      </c>
      <c r="G259" s="175">
        <v>1558.6451612903227</v>
      </c>
      <c r="H259" s="175">
        <v>672.67741935483866</v>
      </c>
      <c r="I259" s="175">
        <v>142.96774193548387</v>
      </c>
      <c r="J259" s="308">
        <v>3553.4516129032259</v>
      </c>
      <c r="K259" s="309"/>
      <c r="L259" s="175">
        <v>192.48387096774192</v>
      </c>
      <c r="M259" s="175">
        <v>10229.516129032258</v>
      </c>
      <c r="N259" s="175"/>
      <c r="O259" s="175">
        <v>5328.3548387096771</v>
      </c>
      <c r="P259" s="175"/>
      <c r="Q259" s="175">
        <v>58.161290322580648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56201.677419354841</v>
      </c>
      <c r="Y259" s="176">
        <v>41640.709677419356</v>
      </c>
      <c r="Z259" s="176">
        <v>6473.7419354838712</v>
      </c>
      <c r="AA259" s="176">
        <v>327.87096774193549</v>
      </c>
      <c r="AB259" s="176">
        <v>103.87096774193549</v>
      </c>
      <c r="AC259" s="176">
        <v>1512.2903225806451</v>
      </c>
      <c r="AD259" s="176">
        <v>5657.5483870967746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x14ac:dyDescent="0.2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1485.9677419354839</v>
      </c>
      <c r="H260" s="177">
        <v>657.54838709677415</v>
      </c>
      <c r="I260" s="177">
        <v>167.87096774193549</v>
      </c>
      <c r="J260" s="304">
        <v>3458.1612903225805</v>
      </c>
      <c r="K260" s="305"/>
      <c r="L260" s="177">
        <v>192.93548387096774</v>
      </c>
      <c r="M260" s="177">
        <v>10268.774193548386</v>
      </c>
      <c r="N260" s="177"/>
      <c r="O260" s="177">
        <v>4834.4193548387093</v>
      </c>
      <c r="P260" s="177"/>
      <c r="Q260" s="177">
        <v>54.741935483870968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8408.5806451612898</v>
      </c>
      <c r="V260" s="178"/>
      <c r="W260" s="178">
        <v>11228.064516129032</v>
      </c>
      <c r="X260" s="178">
        <v>53014.612903225803</v>
      </c>
      <c r="Y260" s="178">
        <v>40950.483870967742</v>
      </c>
      <c r="Z260" s="178">
        <v>6223.9354838709678</v>
      </c>
      <c r="AA260" s="178">
        <v>278.29032258064518</v>
      </c>
      <c r="AB260" s="178">
        <v>61.903225806451616</v>
      </c>
      <c r="AC260" s="178">
        <v>1984.8709677419354</v>
      </c>
      <c r="AD260" s="178">
        <v>4522.0645161290322</v>
      </c>
      <c r="AE260" s="178">
        <v>683.38709677419354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x14ac:dyDescent="0.2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304">
        <v>3550.9285714285716</v>
      </c>
      <c r="K261" s="305"/>
      <c r="L261" s="177">
        <v>193.14285714285714</v>
      </c>
      <c r="M261" s="177">
        <v>10297.214285714286</v>
      </c>
      <c r="N261" s="177"/>
      <c r="O261" s="177">
        <v>4797.5357142857147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6282.3928571428569</v>
      </c>
      <c r="V261" s="178"/>
      <c r="W261" s="178">
        <v>8073.6428571428569</v>
      </c>
      <c r="X261" s="178">
        <v>55785.035714285717</v>
      </c>
      <c r="Y261" s="178">
        <v>39109</v>
      </c>
      <c r="Z261" s="178">
        <v>5564.4642857142853</v>
      </c>
      <c r="AA261" s="178">
        <v>318.25</v>
      </c>
      <c r="AB261" s="178">
        <v>62.642857142857146</v>
      </c>
      <c r="AC261" s="178">
        <v>1782.9642857142858</v>
      </c>
      <c r="AD261" s="178">
        <v>2910.2142857142858</v>
      </c>
      <c r="AE261" s="178">
        <v>2210.5357142857142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-6586.4412442395987</v>
      </c>
    </row>
    <row r="262" spans="3:37" x14ac:dyDescent="0.25">
      <c r="C262" s="182">
        <f t="shared" si="22"/>
        <v>2015.2499915000126</v>
      </c>
      <c r="D262" s="171">
        <v>42064</v>
      </c>
      <c r="E262" s="177">
        <v>1393.0322580645161</v>
      </c>
      <c r="F262" s="177">
        <v>356.87096774193549</v>
      </c>
      <c r="G262" s="177">
        <v>1333.3870967741937</v>
      </c>
      <c r="H262" s="177">
        <v>590.35483870967744</v>
      </c>
      <c r="I262" s="177">
        <v>173.03225806451613</v>
      </c>
      <c r="J262" s="304">
        <v>3401.6451612903224</v>
      </c>
      <c r="K262" s="305"/>
      <c r="L262" s="177">
        <v>190.16129032258064</v>
      </c>
      <c r="M262" s="177">
        <v>10335.838709677419</v>
      </c>
      <c r="N262" s="177"/>
      <c r="O262" s="177">
        <v>4209.6129032258068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8728.1612903225814</v>
      </c>
      <c r="V262" s="178"/>
      <c r="W262" s="178">
        <v>10221.709677419354</v>
      </c>
      <c r="X262" s="178">
        <v>55341.967741935485</v>
      </c>
      <c r="Y262" s="178">
        <v>35016.225806451614</v>
      </c>
      <c r="Z262" s="178">
        <v>5793.9677419354839</v>
      </c>
      <c r="AA262" s="178">
        <v>292.90322580645159</v>
      </c>
      <c r="AB262" s="178">
        <v>93.354838709677423</v>
      </c>
      <c r="AC262" s="178">
        <v>2016.8709677419354</v>
      </c>
      <c r="AD262" s="178">
        <v>757.64516129032256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991.06666666666672</v>
      </c>
      <c r="H263" s="177">
        <v>335.13333333333333</v>
      </c>
      <c r="I263" s="177">
        <v>167.53333333333333</v>
      </c>
      <c r="J263" s="304">
        <v>3415.6666666666665</v>
      </c>
      <c r="K263" s="305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3599.6333333333332</v>
      </c>
      <c r="U263" s="178">
        <v>8839</v>
      </c>
      <c r="V263" s="178"/>
      <c r="W263" s="178">
        <v>10141.700000000001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3216.7333333333331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x14ac:dyDescent="0.25">
      <c r="C264" s="182">
        <f t="shared" si="22"/>
        <v>2015.4166581000127</v>
      </c>
      <c r="D264" s="171">
        <v>42125</v>
      </c>
      <c r="E264" s="177">
        <v>1351.2258064516129</v>
      </c>
      <c r="F264" s="177">
        <v>380.64516129032256</v>
      </c>
      <c r="G264" s="177">
        <v>1346</v>
      </c>
      <c r="H264" s="177">
        <v>931.77419354838707</v>
      </c>
      <c r="I264" s="177">
        <v>195.19354838709677</v>
      </c>
      <c r="J264" s="304">
        <v>3440.9677419354839</v>
      </c>
      <c r="K264" s="305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57.322580645161288</v>
      </c>
      <c r="R264" s="177">
        <v>19.129032258064516</v>
      </c>
      <c r="S264" s="177">
        <v>10967.032258064517</v>
      </c>
      <c r="T264" s="177">
        <v>4112.4193548387093</v>
      </c>
      <c r="U264" s="177">
        <v>8068.9032258064517</v>
      </c>
      <c r="V264" s="177"/>
      <c r="W264" s="177">
        <v>10294.451612903225</v>
      </c>
      <c r="X264" s="177">
        <v>41456.354838709674</v>
      </c>
      <c r="Y264" s="177">
        <v>22482.903225806451</v>
      </c>
      <c r="Z264" s="177">
        <v>3724.6129032258063</v>
      </c>
      <c r="AA264" s="177">
        <v>317.64516129032256</v>
      </c>
      <c r="AB264" s="177">
        <v>68.322580645161295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x14ac:dyDescent="0.2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304">
        <v>3394.3</v>
      </c>
      <c r="K265" s="305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80.333333333333329</v>
      </c>
      <c r="R265" s="177">
        <v>19.733333333333334</v>
      </c>
      <c r="S265" s="177">
        <v>11380.266666666666</v>
      </c>
      <c r="T265" s="177">
        <v>0</v>
      </c>
      <c r="U265" s="177">
        <v>7988.0333333333338</v>
      </c>
      <c r="V265" s="177"/>
      <c r="W265" s="177">
        <v>9948</v>
      </c>
      <c r="X265" s="177">
        <v>52601.5</v>
      </c>
      <c r="Y265" s="177">
        <v>37407.633333333331</v>
      </c>
      <c r="Z265" s="177">
        <v>5834.0333333333338</v>
      </c>
      <c r="AA265" s="177">
        <v>185.73333333333332</v>
      </c>
      <c r="AB265" s="177">
        <v>53.966666666666669</v>
      </c>
      <c r="AC265" s="177">
        <v>1819.3666666666666</v>
      </c>
      <c r="AD265" s="177">
        <v>956.36666666666667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x14ac:dyDescent="0.25">
      <c r="C266" s="182">
        <f t="shared" si="22"/>
        <v>2015.5833247000128</v>
      </c>
      <c r="D266" s="171">
        <v>42186</v>
      </c>
      <c r="E266" s="177">
        <v>1415.7741935483871</v>
      </c>
      <c r="F266" s="177">
        <v>348.09677419354841</v>
      </c>
      <c r="G266" s="177">
        <v>1222.2903225806451</v>
      </c>
      <c r="H266" s="177">
        <v>628.0322580645161</v>
      </c>
      <c r="I266" s="177">
        <v>163.38709677419354</v>
      </c>
      <c r="J266" s="304">
        <v>3407.0645161290322</v>
      </c>
      <c r="K266" s="305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61.612903225806448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9421.9032258064508</v>
      </c>
      <c r="X266" s="177">
        <v>48275.258064516129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591.09677419354841</v>
      </c>
      <c r="AE266" s="177">
        <v>3797.0322580645161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x14ac:dyDescent="0.2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641.83870967741939</v>
      </c>
      <c r="I267" s="177">
        <v>152.12903225806451</v>
      </c>
      <c r="J267" s="304">
        <v>3457.1290322580599</v>
      </c>
      <c r="K267" s="305"/>
      <c r="L267" s="177">
        <v>271.67741935483872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58862.741935483871</v>
      </c>
      <c r="Y267" s="178">
        <v>9016.322580645161</v>
      </c>
      <c r="Z267" s="178">
        <v>2366.0322580645161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754.22580645161293</v>
      </c>
      <c r="AE267" s="177">
        <v>4006.0322580645161</v>
      </c>
      <c r="AF267" s="177"/>
      <c r="AG267" s="177"/>
      <c r="AH267" s="177"/>
      <c r="AI267" s="148">
        <f t="shared" ref="AI267:AI274" si="35">SUM(E267:AH267)</f>
        <v>134295.70967741936</v>
      </c>
      <c r="AJ267" s="252">
        <f>+AJ266</f>
        <v>149405</v>
      </c>
      <c r="AK267" s="138">
        <f t="shared" si="34"/>
        <v>-8218.8387096773949</v>
      </c>
    </row>
    <row r="268" spans="3:37" x14ac:dyDescent="0.2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630.73333333333335</v>
      </c>
      <c r="I268" s="177">
        <v>156.80000000000001</v>
      </c>
      <c r="J268" s="304">
        <v>3365.7666666666701</v>
      </c>
      <c r="K268" s="305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17.100000000000001</v>
      </c>
      <c r="S268" s="177">
        <f>9492.36666666667+1300.23333333333</f>
        <v>10792.6</v>
      </c>
      <c r="T268" s="177">
        <v>7276.4333333333334</v>
      </c>
      <c r="U268" s="177">
        <v>5481.9</v>
      </c>
      <c r="V268" s="177"/>
      <c r="W268" s="177">
        <v>4441.5333333333338</v>
      </c>
      <c r="X268" s="178">
        <v>53443.333333333336</v>
      </c>
      <c r="Y268" s="178">
        <v>21087.933333333334</v>
      </c>
      <c r="Z268" s="178">
        <v>2572.8000000000002</v>
      </c>
      <c r="AA268" s="177">
        <v>365.03333333333336</v>
      </c>
      <c r="AB268" s="177">
        <v>124.93333333333334</v>
      </c>
      <c r="AC268" s="177">
        <v>1973.6</v>
      </c>
      <c r="AD268" s="177">
        <v>1077.9000000000001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806.72365591398557</v>
      </c>
    </row>
    <row r="269" spans="3:37" x14ac:dyDescent="0.25">
      <c r="C269" s="182">
        <f t="shared" si="22"/>
        <v>2015.8333246000129</v>
      </c>
      <c r="D269" s="171">
        <v>42278</v>
      </c>
      <c r="E269" s="177">
        <v>1323.2903225806451</v>
      </c>
      <c r="F269" s="177">
        <v>360.09677419354841</v>
      </c>
      <c r="G269" s="177">
        <v>1172.258064516129</v>
      </c>
      <c r="H269" s="177">
        <v>637.12903225806451</v>
      </c>
      <c r="I269" s="177">
        <v>151.2258064516129</v>
      </c>
      <c r="J269" s="304">
        <v>3472.9677419354839</v>
      </c>
      <c r="K269" s="305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66.645161290322577</v>
      </c>
      <c r="R269" s="177">
        <v>19.774193548387096</v>
      </c>
      <c r="S269" s="177">
        <v>10558.2580645161</v>
      </c>
      <c r="T269" s="177">
        <v>2574.9677419354839</v>
      </c>
      <c r="U269" s="177">
        <v>6749.2258064516127</v>
      </c>
      <c r="V269" s="177">
        <v>9436.2258064516136</v>
      </c>
      <c r="W269" s="177">
        <v>678</v>
      </c>
      <c r="X269" s="178">
        <v>51913.032258064515</v>
      </c>
      <c r="Y269" s="178">
        <v>36384.06451612903</v>
      </c>
      <c r="Z269" s="178">
        <v>5325.1290322580644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x14ac:dyDescent="0.2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304">
        <v>3349.4</v>
      </c>
      <c r="K270" s="305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8197.9333333333325</v>
      </c>
      <c r="V270" s="177">
        <v>8981.6333333333332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306.63333333333333</v>
      </c>
      <c r="AB270" s="177">
        <v>123.06666666666666</v>
      </c>
      <c r="AC270" s="177">
        <v>1756.0333333333299</v>
      </c>
      <c r="AD270" s="178">
        <v>1779.8333333333333</v>
      </c>
      <c r="AE270" s="178">
        <v>3929.1333333333332</v>
      </c>
      <c r="AF270" s="177"/>
      <c r="AG270" s="177"/>
      <c r="AH270" s="177"/>
      <c r="AI270" s="148">
        <f t="shared" si="35"/>
        <v>154074.76666666669</v>
      </c>
      <c r="AJ270" s="252">
        <f t="shared" si="33"/>
        <v>149405</v>
      </c>
      <c r="AK270" s="138">
        <f>+AI270-AI269</f>
        <v>747.31505376353743</v>
      </c>
    </row>
    <row r="271" spans="3:37" x14ac:dyDescent="0.2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648.51612903225805</v>
      </c>
      <c r="I271" s="177">
        <v>133.74193548387098</v>
      </c>
      <c r="J271" s="304">
        <v>3288.8709677419356</v>
      </c>
      <c r="K271" s="305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58.387096774193552</v>
      </c>
      <c r="R271" s="177">
        <v>18.258064516129032</v>
      </c>
      <c r="S271" s="177">
        <f>8918.58064516129 + 1190.677419</f>
        <v>10109.258064161289</v>
      </c>
      <c r="T271" s="177">
        <v>4617.1935483870966</v>
      </c>
      <c r="U271" s="177">
        <v>7547.3870967741932</v>
      </c>
      <c r="V271" s="177">
        <v>10184.41935483871</v>
      </c>
      <c r="W271" s="189" t="s">
        <v>37</v>
      </c>
      <c r="X271" s="177">
        <v>54585.129032258068</v>
      </c>
      <c r="Y271" s="177">
        <v>39603.032258064515</v>
      </c>
      <c r="Z271" s="177">
        <v>4693.1290322580644</v>
      </c>
      <c r="AA271" s="177">
        <v>136.19354838709677</v>
      </c>
      <c r="AB271" s="177">
        <v>33.12903225806452</v>
      </c>
      <c r="AC271" s="177">
        <v>1890.7741935483871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7006.7494620107464</v>
      </c>
    </row>
    <row r="272" spans="3:37" s="201" customFormat="1" x14ac:dyDescent="0.25">
      <c r="C272" s="195">
        <f t="shared" ref="C272:C300" si="36">+C271+0.0833333</f>
        <v>2016.0833245000131</v>
      </c>
      <c r="D272" s="196">
        <v>42370</v>
      </c>
      <c r="E272" s="197">
        <v>1119.2258064516129</v>
      </c>
      <c r="F272" s="197">
        <v>353.29032258064518</v>
      </c>
      <c r="G272" s="197">
        <v>1007.7741935483871</v>
      </c>
      <c r="H272" s="197">
        <v>663.64516129032256</v>
      </c>
      <c r="I272" s="197">
        <v>127.87096774193549</v>
      </c>
      <c r="J272" s="306">
        <v>3243.3225806451601</v>
      </c>
      <c r="K272" s="307"/>
      <c r="L272" s="197">
        <v>164.35483870967741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21960.903225806451</v>
      </c>
      <c r="Z272" s="197">
        <v>3946.2903225806454</v>
      </c>
      <c r="AA272" s="197">
        <v>356.83870967741933</v>
      </c>
      <c r="AB272" s="197">
        <v>74.483870967741936</v>
      </c>
      <c r="AC272" s="197">
        <v>1865.9677419354839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-50095.129031903227</v>
      </c>
    </row>
    <row r="273" spans="3:39" s="201" customFormat="1" x14ac:dyDescent="0.2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322.79310344827587</v>
      </c>
      <c r="G273" s="197">
        <v>1008.9310344827586</v>
      </c>
      <c r="H273" s="197">
        <v>620.20689655172418</v>
      </c>
      <c r="I273" s="197">
        <v>133.34482758620689</v>
      </c>
      <c r="J273" s="306">
        <v>3242.8965517241381</v>
      </c>
      <c r="K273" s="307">
        <v>0</v>
      </c>
      <c r="L273" s="197">
        <v>183.44827586206895</v>
      </c>
      <c r="M273" s="197">
        <v>10945.931034482759</v>
      </c>
      <c r="N273" s="197"/>
      <c r="O273" s="197">
        <v>3794.7931034482758</v>
      </c>
      <c r="P273" s="197"/>
      <c r="Q273" s="197">
        <v>51.206896551724135</v>
      </c>
      <c r="R273" s="197">
        <v>16.137931034482758</v>
      </c>
      <c r="S273" s="197">
        <v>9842.9310344827591</v>
      </c>
      <c r="T273" s="197">
        <v>3873.8965517241381</v>
      </c>
      <c r="U273" s="197">
        <v>7572.8965517241377</v>
      </c>
      <c r="V273" s="197">
        <v>4223.8965517241377</v>
      </c>
      <c r="W273" s="198"/>
      <c r="X273" s="197">
        <v>55195.965517241377</v>
      </c>
      <c r="Y273" s="197">
        <v>24998.137931034482</v>
      </c>
      <c r="Z273" s="197">
        <v>2003.7586206896551</v>
      </c>
      <c r="AA273" s="197">
        <v>194</v>
      </c>
      <c r="AB273" s="197">
        <v>72.482758620689651</v>
      </c>
      <c r="AC273" s="197">
        <v>1502</v>
      </c>
      <c r="AD273" s="197">
        <v>565.41379310344826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t="shared" ref="AK273:AK287" si="37">+AI273-AI272</f>
        <v>20548.19911012231</v>
      </c>
    </row>
    <row r="274" spans="3:39" s="205" customFormat="1" x14ac:dyDescent="0.2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768.25806451612902</v>
      </c>
      <c r="H274" s="197">
        <v>598.32258064516134</v>
      </c>
      <c r="I274" s="197">
        <v>118.51612903225806</v>
      </c>
      <c r="J274" s="306">
        <v>2940.9032258064499</v>
      </c>
      <c r="K274" s="307"/>
      <c r="L274" s="197">
        <v>213.09677419354838</v>
      </c>
      <c r="M274" s="197">
        <v>10465.741935483871</v>
      </c>
      <c r="N274" s="197"/>
      <c r="O274" s="197">
        <v>4093.0322580645161</v>
      </c>
      <c r="P274" s="197"/>
      <c r="Q274" s="197">
        <v>52.967741935483872</v>
      </c>
      <c r="R274" s="197">
        <v>14.064516129032258</v>
      </c>
      <c r="S274" s="197">
        <v>9719.5806451612898</v>
      </c>
      <c r="T274" s="197">
        <v>2992.3870967741937</v>
      </c>
      <c r="U274" s="197">
        <v>6006.6129032258068</v>
      </c>
      <c r="V274" s="197">
        <v>0</v>
      </c>
      <c r="W274" s="198"/>
      <c r="X274" s="197">
        <v>48012.129032258068</v>
      </c>
      <c r="Y274" s="197">
        <v>39933</v>
      </c>
      <c r="Z274" s="197">
        <v>6135.677419354839</v>
      </c>
      <c r="AA274" s="197">
        <v>182.25806451612902</v>
      </c>
      <c r="AB274" s="197">
        <v>56.677419354838712</v>
      </c>
      <c r="AC274" s="197">
        <v>1820.6774193548388</v>
      </c>
      <c r="AD274" s="197">
        <v>963.70967741935488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4905.2847608454467</v>
      </c>
    </row>
    <row r="275" spans="3:39" s="205" customFormat="1" x14ac:dyDescent="0.2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596.29999999999995</v>
      </c>
      <c r="I275" s="197">
        <v>123.7</v>
      </c>
      <c r="J275" s="306">
        <v>3179.3333333333298</v>
      </c>
      <c r="K275" s="307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9401.1666666666661</v>
      </c>
      <c r="T275" s="197">
        <v>3353.4</v>
      </c>
      <c r="U275" s="197">
        <v>5271.2</v>
      </c>
      <c r="V275" s="197">
        <v>0</v>
      </c>
      <c r="W275" s="198"/>
      <c r="X275" s="197">
        <v>54283.033333333333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t="shared" ref="AI275:AI284" si="38">SUM(E275:AH275)</f>
        <v>142185.83333333328</v>
      </c>
      <c r="AJ275" s="206">
        <f t="shared" ref="AJ275:AJ283" si="39">+AJ274</f>
        <v>135096</v>
      </c>
      <c r="AK275" s="200">
        <f t="shared" si="37"/>
        <v>5745.9623655913165</v>
      </c>
      <c r="AM275" s="206"/>
    </row>
    <row r="276" spans="3:39" s="205" customFormat="1" x14ac:dyDescent="0.2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339.77419354838707</v>
      </c>
      <c r="G276" s="197">
        <v>975.25806451612902</v>
      </c>
      <c r="H276" s="197">
        <v>601.0322580645161</v>
      </c>
      <c r="I276" s="197">
        <v>128.74193548387098</v>
      </c>
      <c r="J276" s="306">
        <v>3165.16129032258</v>
      </c>
      <c r="K276" s="307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9326.9354838709678</v>
      </c>
      <c r="T276" s="197">
        <v>2876.516129032258</v>
      </c>
      <c r="U276" s="197">
        <v>6048.7741935483873</v>
      </c>
      <c r="V276" s="197">
        <v>0</v>
      </c>
      <c r="W276" s="198"/>
      <c r="X276" s="197">
        <v>55623.258064516129</v>
      </c>
      <c r="Y276" s="197">
        <v>33996.483870967742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4275.4892473118962</v>
      </c>
    </row>
    <row r="277" spans="3:39" s="211" customFormat="1" x14ac:dyDescent="0.2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607.29999999999995</v>
      </c>
      <c r="I277" s="208">
        <v>128.36666666666667</v>
      </c>
      <c r="J277" s="306">
        <v>3254.8666666666668</v>
      </c>
      <c r="K277" s="307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9383.5666666666675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9357.3333333333339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9" s="211" customFormat="1" x14ac:dyDescent="0.2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967.77419354838707</v>
      </c>
      <c r="H278" s="208">
        <v>637.64516129032256</v>
      </c>
      <c r="I278" s="208">
        <v>134.16129032258064</v>
      </c>
      <c r="J278" s="306">
        <v>3235.8387096774195</v>
      </c>
      <c r="K278" s="307"/>
      <c r="L278" s="208">
        <v>179.93548387096774</v>
      </c>
      <c r="M278" s="208">
        <v>10581.193548387097</v>
      </c>
      <c r="N278" s="208"/>
      <c r="O278" s="208">
        <v>3546.5483870967741</v>
      </c>
      <c r="P278" s="208"/>
      <c r="Q278" s="208">
        <v>46.032258064516128</v>
      </c>
      <c r="R278" s="208">
        <v>15.870967741935484</v>
      </c>
      <c r="S278" s="208">
        <v>9072.2903225806458</v>
      </c>
      <c r="T278" s="208">
        <v>4514.8387096774195</v>
      </c>
      <c r="U278" s="208">
        <v>6118.7096774193551</v>
      </c>
      <c r="V278" s="208">
        <v>0</v>
      </c>
      <c r="W278" s="208"/>
      <c r="X278" s="208">
        <v>53051.451612903227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50.451612903225808</v>
      </c>
      <c r="AC278" s="208">
        <v>729.06451612903231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9" s="211" customFormat="1" x14ac:dyDescent="0.2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935.74193548387098</v>
      </c>
      <c r="H279" s="208">
        <v>615.83870967741939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9502.2258064516136</v>
      </c>
      <c r="T279" s="208">
        <v>2827.5483870967741</v>
      </c>
      <c r="U279" s="208">
        <v>6092.4838709677415</v>
      </c>
      <c r="V279" s="208">
        <v>0</v>
      </c>
      <c r="W279" s="214"/>
      <c r="X279" s="208">
        <v>53724.774193548386</v>
      </c>
      <c r="Y279" s="208">
        <v>34606.032258064515</v>
      </c>
      <c r="Z279" s="208">
        <v>11677.032258064517</v>
      </c>
      <c r="AA279" s="208">
        <v>52.967741935483872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143466.16129032261</v>
      </c>
      <c r="AJ279" s="206">
        <f t="shared" si="39"/>
        <v>135096</v>
      </c>
      <c r="AK279" s="203">
        <f t="shared" si="37"/>
        <v>410.0322580645734</v>
      </c>
    </row>
    <row r="280" spans="3:39" s="211" customFormat="1" x14ac:dyDescent="0.25">
      <c r="C280" s="195">
        <f t="shared" si="36"/>
        <v>2016.7499909000135</v>
      </c>
      <c r="D280" s="207">
        <v>42614</v>
      </c>
      <c r="E280" s="208">
        <v>1072.4000000000001</v>
      </c>
      <c r="F280" s="208">
        <v>273.7</v>
      </c>
      <c r="G280" s="208">
        <v>943.36666666666667</v>
      </c>
      <c r="H280" s="208">
        <v>601.63333333333333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45.366666666666667</v>
      </c>
      <c r="R280" s="208">
        <v>14.033333333333333</v>
      </c>
      <c r="S280" s="208">
        <v>9208.4666666666672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45180.133333333331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2983.8666666666668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9" s="205" customFormat="1" x14ac:dyDescent="0.2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318.32258064516128</v>
      </c>
      <c r="G281" s="197">
        <v>936.80645161290317</v>
      </c>
      <c r="H281" s="197">
        <v>609.48387096774195</v>
      </c>
      <c r="I281" s="197">
        <v>135</v>
      </c>
      <c r="J281" s="215">
        <v>3232.1290322580644</v>
      </c>
      <c r="K281" s="216"/>
      <c r="L281" s="197">
        <v>193.45161290322579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49353.129032258068</v>
      </c>
      <c r="Y281" s="197">
        <v>34508.032258064515</v>
      </c>
      <c r="Z281" s="197">
        <v>10156.774193548386</v>
      </c>
      <c r="AA281" s="197">
        <v>79.096774193548384</v>
      </c>
      <c r="AB281" s="197">
        <v>40.58064516129032</v>
      </c>
      <c r="AC281" s="197">
        <v>1498.7741935483871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131878.61290322579</v>
      </c>
      <c r="AJ281" s="206">
        <f t="shared" si="39"/>
        <v>135096</v>
      </c>
      <c r="AK281" s="203">
        <f>+AI281-AI280</f>
        <v>3381.3462365591258</v>
      </c>
    </row>
    <row r="282" spans="3:39" s="205" customFormat="1" x14ac:dyDescent="0.2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627.79999999999995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3104.2666666666669</v>
      </c>
      <c r="P282" s="197"/>
      <c r="Q282" s="197">
        <v>45.666666666666664</v>
      </c>
      <c r="R282" s="197">
        <v>12.166666666666666</v>
      </c>
      <c r="S282" s="197">
        <v>9940.9333333333325</v>
      </c>
      <c r="T282" s="197">
        <v>2642.8666666666668</v>
      </c>
      <c r="U282" s="197">
        <v>0</v>
      </c>
      <c r="V282" s="197">
        <v>0</v>
      </c>
      <c r="W282" s="198"/>
      <c r="X282" s="197">
        <v>52816.866666666669</v>
      </c>
      <c r="Y282" s="197">
        <v>36082.866666666669</v>
      </c>
      <c r="Z282" s="197">
        <v>10601.8</v>
      </c>
      <c r="AA282" s="197">
        <v>63.966666666666669</v>
      </c>
      <c r="AB282" s="197">
        <v>43.133333333333333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5002.0870967741939</v>
      </c>
    </row>
    <row r="283" spans="3:39" s="201" customFormat="1" x14ac:dyDescent="0.25">
      <c r="C283" s="195">
        <f t="shared" si="36"/>
        <v>2016.9999908000136</v>
      </c>
      <c r="D283" s="196">
        <v>42705</v>
      </c>
      <c r="E283" s="197">
        <v>954.19354838709683</v>
      </c>
      <c r="F283" s="197">
        <v>320.64516129032256</v>
      </c>
      <c r="G283" s="197">
        <v>910.41935483870964</v>
      </c>
      <c r="H283" s="197">
        <v>845.61290322580646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41.548387096774192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9918.8064516129034</v>
      </c>
      <c r="AA283" s="197">
        <v>32.774193548387096</v>
      </c>
      <c r="AB283" s="197">
        <v>41.645161290322584</v>
      </c>
      <c r="AC283" s="197">
        <v>818.38709677419354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138207.77419354839</v>
      </c>
      <c r="AJ283" s="206">
        <f t="shared" si="39"/>
        <v>135096</v>
      </c>
      <c r="AK283" s="200">
        <f t="shared" si="37"/>
        <v>1327.0741935484111</v>
      </c>
    </row>
    <row r="284" spans="3:39" s="225" customFormat="1" x14ac:dyDescent="0.25">
      <c r="C284" s="223">
        <f t="shared" si="36"/>
        <v>2017.0833241000137</v>
      </c>
      <c r="D284" s="224">
        <v>42736</v>
      </c>
      <c r="E284" s="247">
        <v>921.35483870967744</v>
      </c>
      <c r="F284" s="247">
        <v>308.16129032258067</v>
      </c>
      <c r="G284" s="247">
        <v>922.41935483870964</v>
      </c>
      <c r="H284" s="247">
        <v>1435.7741935483871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38.322580645161288</v>
      </c>
      <c r="R284" s="247">
        <v>11.96774193548387</v>
      </c>
      <c r="S284" s="247">
        <v>9185</v>
      </c>
      <c r="T284" s="247">
        <v>378.64516129032256</v>
      </c>
      <c r="U284" s="247">
        <v>5753.2258064516127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65.516129032258064</v>
      </c>
      <c r="AB284" s="247">
        <v>0</v>
      </c>
      <c r="AC284" s="247">
        <v>1265.2258064516129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-4162.8709677419392</v>
      </c>
      <c r="AL284" s="227"/>
    </row>
    <row r="285" spans="3:39" s="142" customFormat="1" x14ac:dyDescent="0.2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9" s="142" customFormat="1" x14ac:dyDescent="0.2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t="shared" ref="AJ286:AJ295" si="40">+AJ285</f>
        <v>134341</v>
      </c>
      <c r="AK286" s="226">
        <f t="shared" si="37"/>
        <v>-2212</v>
      </c>
    </row>
    <row r="287" spans="3:39" s="142" customFormat="1" x14ac:dyDescent="0.2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9" x14ac:dyDescent="0.2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t="shared" ref="AK288:AK294" si="41">+AI288-AI287</f>
        <v>1812</v>
      </c>
    </row>
    <row r="289" spans="1:39" x14ac:dyDescent="0.25">
      <c r="C289" s="223">
        <f t="shared" si="36"/>
        <v>2017.4999906000139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1:39" x14ac:dyDescent="0.2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1:39" x14ac:dyDescent="0.2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1:39" x14ac:dyDescent="0.25">
      <c r="C292" s="223">
        <f t="shared" si="36"/>
        <v>2017.7499905000141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1:39" x14ac:dyDescent="0.25">
      <c r="C293" s="223">
        <f t="shared" si="36"/>
        <v>2017.8333238000141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1:39" x14ac:dyDescent="0.2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1:39" x14ac:dyDescent="0.2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9" x14ac:dyDescent="0.2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t="shared" ref="AK296:AK302" si="42">+AI296-AI295</f>
        <v>-2952</v>
      </c>
    </row>
    <row r="297" spans="1:39" x14ac:dyDescent="0.2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t="shared" ref="AJ297:AJ303" si="43">+AJ296</f>
        <v>132205</v>
      </c>
      <c r="AK297" s="263">
        <f t="shared" si="42"/>
        <v>-36676</v>
      </c>
    </row>
    <row r="298" spans="1:39" x14ac:dyDescent="0.2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9" x14ac:dyDescent="0.2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9" x14ac:dyDescent="0.2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9" x14ac:dyDescent="0.25">
      <c r="A301" s="257"/>
      <c r="B301" s="257"/>
      <c r="C301" s="258">
        <f t="shared" ref="C301:C307" si="44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  <c r="AM301" s="138"/>
    </row>
    <row r="302" spans="1:39" x14ac:dyDescent="0.2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9" x14ac:dyDescent="0.2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t="shared" ref="AK303:AK309" si="45">+AI303-AI302</f>
        <v>-16207</v>
      </c>
    </row>
    <row r="304" spans="1:39" x14ac:dyDescent="0.2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9" x14ac:dyDescent="0.2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9" x14ac:dyDescent="0.2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9" x14ac:dyDescent="0.2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9" x14ac:dyDescent="0.25">
      <c r="C308" s="267">
        <f t="shared" ref="C308:C313" si="46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9" x14ac:dyDescent="0.25">
      <c r="C309" s="267">
        <f t="shared" si="46"/>
        <v>2019.1666566000149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9" x14ac:dyDescent="0.2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t="shared" ref="AK310:AK315" si="47">+AI310-AI309</f>
        <v>-2395</v>
      </c>
    </row>
    <row r="311" spans="3:39" x14ac:dyDescent="0.2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  <c r="AM311" s="138"/>
    </row>
    <row r="312" spans="3:39" x14ac:dyDescent="0.25">
      <c r="C312" s="267">
        <f t="shared" si="46"/>
        <v>2019.4166565000151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9" x14ac:dyDescent="0.25">
      <c r="C313" s="267">
        <f t="shared" si="46"/>
        <v>2019.4999898000151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9" x14ac:dyDescent="0.25">
      <c r="C314" s="267">
        <f t="shared" ref="C314:C327" si="48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9" x14ac:dyDescent="0.2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9" x14ac:dyDescent="0.2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t="shared" ref="AK316:AK321" si="49">+AI316-AI315</f>
        <v>6768</v>
      </c>
    </row>
    <row r="317" spans="3:39" x14ac:dyDescent="0.2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9" x14ac:dyDescent="0.2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9" x14ac:dyDescent="0.2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  <c r="AM319" s="138"/>
    </row>
    <row r="320" spans="3:39" x14ac:dyDescent="0.2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124622</v>
      </c>
      <c r="AK320" s="281">
        <f t="shared" si="49"/>
        <v>772</v>
      </c>
    </row>
    <row r="321" spans="3:38" x14ac:dyDescent="0.2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124622</v>
      </c>
      <c r="AK321" s="281">
        <f t="shared" si="49"/>
        <v>5253</v>
      </c>
    </row>
    <row r="322" spans="3:38" x14ac:dyDescent="0.25">
      <c r="C322" s="278">
        <f t="shared" si="48"/>
        <v>2020.2499895000155</v>
      </c>
      <c r="D322" s="279">
        <v>43891</v>
      </c>
      <c r="AI322" s="280">
        <v>122861</v>
      </c>
      <c r="AJ322" s="128">
        <v>124622</v>
      </c>
      <c r="AK322" s="281">
        <f t="shared" ref="AK322:AK327" si="50">+AI322-AI321</f>
        <v>-28627</v>
      </c>
    </row>
    <row r="323" spans="3:38" x14ac:dyDescent="0.25">
      <c r="C323" s="278">
        <f t="shared" si="48"/>
        <v>2020.3333228000156</v>
      </c>
      <c r="D323" s="279">
        <v>43922</v>
      </c>
      <c r="AI323" s="280">
        <v>119608</v>
      </c>
      <c r="AJ323" s="128">
        <v>124622</v>
      </c>
      <c r="AK323" s="281">
        <f t="shared" si="50"/>
        <v>-3253</v>
      </c>
    </row>
    <row r="324" spans="3:38" x14ac:dyDescent="0.25">
      <c r="C324" s="278">
        <f t="shared" si="48"/>
        <v>2020.4166561000156</v>
      </c>
      <c r="D324" s="279">
        <v>43952</v>
      </c>
      <c r="AI324" s="280">
        <v>110530</v>
      </c>
      <c r="AJ324" s="128">
        <v>124622</v>
      </c>
      <c r="AK324" s="281">
        <f t="shared" si="50"/>
        <v>-9078</v>
      </c>
      <c r="AL324" s="138"/>
    </row>
    <row r="325" spans="3:38" x14ac:dyDescent="0.25">
      <c r="C325" s="278">
        <f t="shared" si="48"/>
        <v>2020.4999894000157</v>
      </c>
      <c r="D325" s="279">
        <v>43983</v>
      </c>
      <c r="AI325" s="280">
        <v>114077</v>
      </c>
      <c r="AJ325" s="128">
        <v>124622</v>
      </c>
      <c r="AK325" s="281">
        <f t="shared" si="50"/>
        <v>3547</v>
      </c>
    </row>
    <row r="326" spans="3:38" x14ac:dyDescent="0.25">
      <c r="C326" s="278">
        <f t="shared" si="48"/>
        <v>2020.5833227000157</v>
      </c>
      <c r="D326" s="279">
        <v>44013</v>
      </c>
      <c r="AI326" s="280">
        <v>123381</v>
      </c>
      <c r="AJ326" s="128">
        <v>124622</v>
      </c>
      <c r="AK326" s="281">
        <f t="shared" si="50"/>
        <v>9304</v>
      </c>
    </row>
    <row r="327" spans="3:38" x14ac:dyDescent="0.25">
      <c r="C327" s="278">
        <f t="shared" si="48"/>
        <v>2020.6666560000158</v>
      </c>
      <c r="D327" s="279">
        <v>44044</v>
      </c>
      <c r="AI327" s="280">
        <v>119820</v>
      </c>
      <c r="AJ327" s="128">
        <v>124622</v>
      </c>
      <c r="AK327" s="281">
        <f t="shared" si="50"/>
        <v>-3561</v>
      </c>
    </row>
    <row r="328" spans="3:38" x14ac:dyDescent="0.25">
      <c r="C328" s="278">
        <f>+C327+0.0833333</f>
        <v>2020.7499893000158</v>
      </c>
      <c r="D328" s="279">
        <v>44075</v>
      </c>
      <c r="E328" s="279">
        <v>44075</v>
      </c>
      <c r="F328" s="279">
        <v>44075</v>
      </c>
      <c r="G328" s="279">
        <v>44075</v>
      </c>
      <c r="H328" s="279">
        <v>44075</v>
      </c>
      <c r="I328" s="279">
        <v>44075</v>
      </c>
      <c r="J328" s="279">
        <v>44075</v>
      </c>
      <c r="K328" s="279">
        <v>44075</v>
      </c>
      <c r="L328" s="279">
        <v>44075</v>
      </c>
      <c r="M328" s="279">
        <v>44075</v>
      </c>
      <c r="N328" s="279">
        <v>44075</v>
      </c>
      <c r="O328" s="279">
        <v>44075</v>
      </c>
      <c r="P328" s="279">
        <v>44075</v>
      </c>
      <c r="Q328" s="279">
        <v>44075</v>
      </c>
      <c r="R328" s="279">
        <v>44075</v>
      </c>
      <c r="S328" s="279">
        <v>44075</v>
      </c>
      <c r="T328" s="279">
        <v>44075</v>
      </c>
      <c r="U328" s="279">
        <v>44075</v>
      </c>
      <c r="V328" s="279">
        <v>44075</v>
      </c>
      <c r="W328" s="279">
        <v>44075</v>
      </c>
      <c r="X328" s="279">
        <v>44075</v>
      </c>
      <c r="Y328" s="279">
        <v>44075</v>
      </c>
      <c r="Z328" s="279">
        <v>44075</v>
      </c>
      <c r="AA328" s="279">
        <v>44075</v>
      </c>
      <c r="AB328" s="279">
        <v>44075</v>
      </c>
      <c r="AC328" s="279">
        <v>44075</v>
      </c>
      <c r="AD328" s="279">
        <v>44075</v>
      </c>
      <c r="AE328" s="279">
        <v>44075</v>
      </c>
      <c r="AI328" s="280">
        <v>120007</v>
      </c>
      <c r="AJ328" s="128">
        <v>124622</v>
      </c>
      <c r="AK328" s="281">
        <f t="shared" ref="AK328:AK331" si="51">+AI328-AI327</f>
        <v>187</v>
      </c>
    </row>
    <row r="329" spans="3:38" x14ac:dyDescent="0.25">
      <c r="C329" s="278">
        <f>+C328+0.0833333</f>
        <v>2020.8333226000159</v>
      </c>
      <c r="D329" s="279">
        <v>44105</v>
      </c>
      <c r="E329" s="279">
        <v>44105</v>
      </c>
      <c r="F329" s="279">
        <v>44105</v>
      </c>
      <c r="G329" s="279">
        <v>44105</v>
      </c>
      <c r="H329" s="279">
        <v>44105</v>
      </c>
      <c r="I329" s="279">
        <v>44105</v>
      </c>
      <c r="J329" s="279">
        <v>44105</v>
      </c>
      <c r="K329" s="279">
        <v>44105</v>
      </c>
      <c r="L329" s="279">
        <v>44105</v>
      </c>
      <c r="M329" s="279">
        <v>44105</v>
      </c>
      <c r="N329" s="279">
        <v>44105</v>
      </c>
      <c r="O329" s="279">
        <v>44105</v>
      </c>
      <c r="P329" s="279">
        <v>44105</v>
      </c>
      <c r="Q329" s="279">
        <v>44105</v>
      </c>
      <c r="R329" s="279">
        <v>44105</v>
      </c>
      <c r="S329" s="279">
        <v>44105</v>
      </c>
      <c r="T329" s="279">
        <v>44105</v>
      </c>
      <c r="U329" s="279">
        <v>44105</v>
      </c>
      <c r="V329" s="279">
        <v>44105</v>
      </c>
      <c r="W329" s="279">
        <v>44105</v>
      </c>
      <c r="X329" s="279">
        <v>44105</v>
      </c>
      <c r="Y329" s="279">
        <v>44105</v>
      </c>
      <c r="Z329" s="279">
        <v>44105</v>
      </c>
      <c r="AA329" s="279">
        <v>44105</v>
      </c>
      <c r="AB329" s="279">
        <v>44105</v>
      </c>
      <c r="AC329" s="279">
        <v>44105</v>
      </c>
      <c r="AD329" s="279">
        <v>44105</v>
      </c>
      <c r="AE329" s="279">
        <v>44105</v>
      </c>
      <c r="AI329" s="280">
        <v>122003</v>
      </c>
      <c r="AJ329" s="128">
        <v>124622</v>
      </c>
      <c r="AK329" s="281">
        <f t="shared" si="51"/>
        <v>1996</v>
      </c>
    </row>
    <row r="330" spans="3:38" x14ac:dyDescent="0.25">
      <c r="C330" s="278">
        <f>+C329+0.0833333</f>
        <v>2020.9166559000159</v>
      </c>
      <c r="D330" s="279">
        <v>44136</v>
      </c>
      <c r="E330" s="279">
        <v>44136</v>
      </c>
      <c r="F330" s="279">
        <v>44136</v>
      </c>
      <c r="G330" s="279">
        <v>44136</v>
      </c>
      <c r="H330" s="279">
        <v>44136</v>
      </c>
      <c r="I330" s="279">
        <v>44136</v>
      </c>
      <c r="J330" s="279">
        <v>44136</v>
      </c>
      <c r="K330" s="279">
        <v>44136</v>
      </c>
      <c r="L330" s="279">
        <v>44136</v>
      </c>
      <c r="M330" s="279">
        <v>44136</v>
      </c>
      <c r="N330" s="279">
        <v>44136</v>
      </c>
      <c r="O330" s="279">
        <v>44136</v>
      </c>
      <c r="P330" s="279">
        <v>44136</v>
      </c>
      <c r="Q330" s="279">
        <v>44136</v>
      </c>
      <c r="R330" s="279">
        <v>44136</v>
      </c>
      <c r="S330" s="279">
        <v>44136</v>
      </c>
      <c r="T330" s="279">
        <v>44136</v>
      </c>
      <c r="U330" s="279">
        <v>44136</v>
      </c>
      <c r="V330" s="279">
        <v>44136</v>
      </c>
      <c r="W330" s="279">
        <v>44136</v>
      </c>
      <c r="X330" s="279">
        <v>44136</v>
      </c>
      <c r="Y330" s="279">
        <v>44136</v>
      </c>
      <c r="Z330" s="279">
        <v>44136</v>
      </c>
      <c r="AA330" s="279">
        <v>44136</v>
      </c>
      <c r="AB330" s="279">
        <v>44136</v>
      </c>
      <c r="AC330" s="279">
        <v>44136</v>
      </c>
      <c r="AD330" s="279">
        <v>44136</v>
      </c>
      <c r="AE330" s="279">
        <v>44136</v>
      </c>
      <c r="AI330" s="280">
        <v>123907</v>
      </c>
      <c r="AJ330" s="128">
        <v>124622</v>
      </c>
      <c r="AK330" s="281">
        <f t="shared" si="51"/>
        <v>1904</v>
      </c>
    </row>
    <row r="331" spans="3:38" x14ac:dyDescent="0.25">
      <c r="C331" s="278">
        <f>+C330+0.0833333</f>
        <v>2020.999989200016</v>
      </c>
      <c r="D331" s="279">
        <v>44166</v>
      </c>
      <c r="E331" s="279">
        <v>44166</v>
      </c>
      <c r="F331" s="279">
        <v>44166</v>
      </c>
      <c r="G331" s="279">
        <v>44166</v>
      </c>
      <c r="H331" s="279">
        <v>44166</v>
      </c>
      <c r="I331" s="279">
        <v>44166</v>
      </c>
      <c r="J331" s="279">
        <v>44166</v>
      </c>
      <c r="K331" s="279">
        <v>44166</v>
      </c>
      <c r="L331" s="279">
        <v>44166</v>
      </c>
      <c r="M331" s="279">
        <v>44166</v>
      </c>
      <c r="N331" s="279">
        <v>44166</v>
      </c>
      <c r="O331" s="279">
        <v>44166</v>
      </c>
      <c r="P331" s="279">
        <v>44166</v>
      </c>
      <c r="Q331" s="279">
        <v>44166</v>
      </c>
      <c r="R331" s="279">
        <v>44166</v>
      </c>
      <c r="S331" s="279">
        <v>44166</v>
      </c>
      <c r="T331" s="279">
        <v>44166</v>
      </c>
      <c r="U331" s="279">
        <v>44166</v>
      </c>
      <c r="V331" s="279">
        <v>44166</v>
      </c>
      <c r="W331" s="279">
        <v>44166</v>
      </c>
      <c r="X331" s="279">
        <v>44166</v>
      </c>
      <c r="Y331" s="279">
        <v>44166</v>
      </c>
      <c r="Z331" s="279">
        <v>44166</v>
      </c>
      <c r="AA331" s="279">
        <v>44166</v>
      </c>
      <c r="AB331" s="279">
        <v>44166</v>
      </c>
      <c r="AC331" s="279">
        <v>44166</v>
      </c>
      <c r="AD331" s="279">
        <v>44166</v>
      </c>
      <c r="AE331" s="279">
        <v>44166</v>
      </c>
      <c r="AI331" s="280">
        <v>122604</v>
      </c>
      <c r="AJ331" s="128">
        <v>124622</v>
      </c>
      <c r="AK331" s="281">
        <f t="shared" si="51"/>
        <v>-1303</v>
      </c>
    </row>
    <row r="332" spans="3:38" x14ac:dyDescent="0.25">
      <c r="C332" s="290">
        <f t="shared" ref="C332:C343" si="52">+C331+0.0833333</f>
        <v>2021.083322500016</v>
      </c>
      <c r="D332" s="284">
        <v>44197</v>
      </c>
      <c r="E332" s="284">
        <v>44197</v>
      </c>
      <c r="F332" s="284">
        <v>44197</v>
      </c>
      <c r="G332" s="284">
        <v>44197</v>
      </c>
      <c r="H332" s="284">
        <v>44197</v>
      </c>
      <c r="I332" s="284">
        <v>44197</v>
      </c>
      <c r="J332" s="284">
        <v>44197</v>
      </c>
      <c r="K332" s="284">
        <v>44197</v>
      </c>
      <c r="L332" s="284">
        <v>44197</v>
      </c>
      <c r="M332" s="284">
        <v>44197</v>
      </c>
      <c r="N332" s="284">
        <v>44197</v>
      </c>
      <c r="O332" s="284">
        <v>44197</v>
      </c>
      <c r="P332" s="284">
        <v>44197</v>
      </c>
      <c r="Q332" s="284">
        <v>44197</v>
      </c>
      <c r="R332" s="284">
        <v>44197</v>
      </c>
      <c r="S332" s="284">
        <v>44197</v>
      </c>
      <c r="T332" s="284">
        <v>44197</v>
      </c>
      <c r="U332" s="284">
        <v>44197</v>
      </c>
      <c r="V332" s="284">
        <v>44197</v>
      </c>
      <c r="W332" s="284">
        <v>44197</v>
      </c>
      <c r="X332" s="284">
        <v>44197</v>
      </c>
      <c r="Y332" s="284">
        <v>44197</v>
      </c>
      <c r="Z332" s="284">
        <v>44197</v>
      </c>
      <c r="AA332" s="284">
        <v>44197</v>
      </c>
      <c r="AB332" s="284">
        <v>44197</v>
      </c>
      <c r="AC332" s="284">
        <v>44197</v>
      </c>
      <c r="AD332" s="284">
        <v>44197</v>
      </c>
      <c r="AE332" s="284">
        <v>44197</v>
      </c>
      <c r="AF332" s="285"/>
      <c r="AG332" s="285"/>
      <c r="AH332" s="285"/>
      <c r="AI332" s="286">
        <v>120525</v>
      </c>
      <c r="AJ332" s="293">
        <v>111800</v>
      </c>
      <c r="AK332" s="291">
        <f>+AI332-AI331</f>
        <v>-2079</v>
      </c>
    </row>
    <row r="333" spans="3:38" x14ac:dyDescent="0.25">
      <c r="C333" s="290">
        <f t="shared" si="52"/>
        <v>2021.1666558000161</v>
      </c>
      <c r="D333" s="284">
        <v>44228</v>
      </c>
      <c r="E333" s="284">
        <v>44228</v>
      </c>
      <c r="F333" s="284">
        <v>44228</v>
      </c>
      <c r="G333" s="284">
        <v>44228</v>
      </c>
      <c r="H333" s="284">
        <v>44228</v>
      </c>
      <c r="I333" s="284">
        <v>44228</v>
      </c>
      <c r="J333" s="284">
        <v>44228</v>
      </c>
      <c r="K333" s="284">
        <v>44228</v>
      </c>
      <c r="L333" s="284">
        <v>44228</v>
      </c>
      <c r="M333" s="284">
        <v>44228</v>
      </c>
      <c r="N333" s="284">
        <v>44228</v>
      </c>
      <c r="O333" s="284">
        <v>44228</v>
      </c>
      <c r="P333" s="284">
        <v>44228</v>
      </c>
      <c r="Q333" s="284">
        <v>44228</v>
      </c>
      <c r="R333" s="284">
        <v>44228</v>
      </c>
      <c r="S333" s="284">
        <v>44228</v>
      </c>
      <c r="T333" s="284">
        <v>44228</v>
      </c>
      <c r="U333" s="284">
        <v>44228</v>
      </c>
      <c r="V333" s="284">
        <v>44228</v>
      </c>
      <c r="W333" s="284">
        <v>44228</v>
      </c>
      <c r="X333" s="284">
        <v>44228</v>
      </c>
      <c r="Y333" s="284">
        <v>44228</v>
      </c>
      <c r="Z333" s="284">
        <v>44228</v>
      </c>
      <c r="AA333" s="284">
        <v>44228</v>
      </c>
      <c r="AB333" s="284">
        <v>44228</v>
      </c>
      <c r="AC333" s="284">
        <v>44228</v>
      </c>
      <c r="AD333" s="284">
        <v>44228</v>
      </c>
      <c r="AE333" s="284">
        <v>44228</v>
      </c>
      <c r="AF333" s="285"/>
      <c r="AG333" s="285"/>
      <c r="AH333" s="285"/>
      <c r="AI333" s="286">
        <v>120467</v>
      </c>
      <c r="AJ333" s="293">
        <f>+AJ332</f>
        <v>111800</v>
      </c>
      <c r="AK333" s="291">
        <f>+AI333-AI332</f>
        <v>-58</v>
      </c>
    </row>
    <row r="334" spans="3:38" x14ac:dyDescent="0.25">
      <c r="C334" s="290">
        <f t="shared" si="52"/>
        <v>2021.2499891000161</v>
      </c>
      <c r="D334" s="284">
        <v>44256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6">
        <v>101910</v>
      </c>
      <c r="AJ334" s="293">
        <f>+AJ333</f>
        <v>111800</v>
      </c>
      <c r="AK334" s="291">
        <f>+AI334-AI333</f>
        <v>-18557</v>
      </c>
    </row>
    <row r="335" spans="3:38" x14ac:dyDescent="0.25">
      <c r="C335" s="290">
        <f t="shared" si="52"/>
        <v>2021.3333224000162</v>
      </c>
      <c r="D335" s="284">
        <v>44287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6">
        <v>104915</v>
      </c>
      <c r="AJ335" s="293">
        <f>+AJ334</f>
        <v>111800</v>
      </c>
      <c r="AK335" s="291">
        <f>+AI335-AI334</f>
        <v>3005</v>
      </c>
    </row>
    <row r="336" spans="3:38" x14ac:dyDescent="0.25">
      <c r="C336" s="290">
        <f t="shared" si="52"/>
        <v>2021.4166557000162</v>
      </c>
      <c r="D336" s="284">
        <v>44317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5"/>
      <c r="AJ336" s="293">
        <f t="shared" ref="AJ336:AJ343" si="53">+AJ335</f>
        <v>111800</v>
      </c>
      <c r="AK336" s="291"/>
    </row>
    <row r="337" spans="3:37" x14ac:dyDescent="0.25">
      <c r="C337" s="290">
        <f t="shared" si="52"/>
        <v>2021.4999890000163</v>
      </c>
      <c r="D337" s="284">
        <v>44348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5"/>
      <c r="AJ337" s="293">
        <f t="shared" si="53"/>
        <v>111800</v>
      </c>
      <c r="AK337" s="291"/>
    </row>
    <row r="338" spans="3:37" x14ac:dyDescent="0.25">
      <c r="C338" s="290">
        <f t="shared" si="52"/>
        <v>2021.5833223000163</v>
      </c>
      <c r="D338" s="284">
        <v>44378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5"/>
      <c r="AJ338" s="293">
        <f t="shared" si="53"/>
        <v>111800</v>
      </c>
      <c r="AK338" s="291"/>
    </row>
    <row r="339" spans="3:37" x14ac:dyDescent="0.25">
      <c r="C339" s="290">
        <f t="shared" si="52"/>
        <v>2021.6666556000164</v>
      </c>
      <c r="D339" s="284">
        <v>44409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5"/>
      <c r="AJ339" s="293">
        <f t="shared" si="53"/>
        <v>111800</v>
      </c>
      <c r="AK339" s="291"/>
    </row>
    <row r="340" spans="3:37" x14ac:dyDescent="0.25">
      <c r="C340" s="290">
        <f t="shared" si="52"/>
        <v>2021.7499889000164</v>
      </c>
      <c r="D340" s="284">
        <v>44440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5"/>
      <c r="AJ340" s="293">
        <f t="shared" si="53"/>
        <v>111800</v>
      </c>
      <c r="AK340" s="291"/>
    </row>
    <row r="341" spans="3:37" x14ac:dyDescent="0.25">
      <c r="C341" s="290">
        <f t="shared" si="52"/>
        <v>2021.8333222000165</v>
      </c>
      <c r="D341" s="284">
        <v>44470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5"/>
      <c r="AJ341" s="293">
        <f t="shared" si="53"/>
        <v>111800</v>
      </c>
      <c r="AK341" s="291"/>
    </row>
    <row r="342" spans="3:37" x14ac:dyDescent="0.25">
      <c r="C342" s="290">
        <f t="shared" si="52"/>
        <v>2021.9166555000165</v>
      </c>
      <c r="D342" s="284">
        <v>44501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5"/>
      <c r="AJ342" s="293">
        <f t="shared" si="53"/>
        <v>111800</v>
      </c>
      <c r="AK342" s="291"/>
    </row>
    <row r="343" spans="3:37" x14ac:dyDescent="0.25">
      <c r="C343" s="290">
        <f t="shared" si="52"/>
        <v>2021.9999888000166</v>
      </c>
      <c r="D343" s="284">
        <v>44531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85"/>
      <c r="AJ343" s="293">
        <f t="shared" si="53"/>
        <v>111800</v>
      </c>
      <c r="AK343" s="291"/>
    </row>
  </sheetData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9" tint="0.59999389629810485"/>
    <pageSetUpPr fitToPage="1"/>
  </sheetPr>
  <dimension ref="A4:AU497"/>
  <sheetViews>
    <sheetView workbookViewId="0">
      <pane xSplit="3" ySplit="4" topLeftCell="N320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P332" sqref="P332"/>
    </sheetView>
  </sheetViews>
  <sheetFormatPr baseColWidth="10" defaultRowHeight="13.2" x14ac:dyDescent="0.25"/>
  <cols>
    <col min="1" max="1" width="2.109375" customWidth="1"/>
    <col min="2" max="2" width="8.44140625" style="5" customWidth="1"/>
    <col min="4" max="4" width="11.33203125" style="31" hidden="1" customWidth="1"/>
    <col min="5" max="5" width="14.6640625" style="8" hidden="1" customWidth="1"/>
    <col min="6" max="6" width="9.109375" style="8" hidden="1" customWidth="1"/>
    <col min="7" max="7" width="11.5546875" hidden="1" customWidth="1"/>
    <col min="8" max="8" width="12.33203125" hidden="1" customWidth="1"/>
    <col min="9" max="9" width="14.88671875" hidden="1" customWidth="1"/>
    <col min="10" max="10" width="14.44140625" hidden="1" customWidth="1"/>
    <col min="11" max="12" width="15" hidden="1" customWidth="1"/>
    <col min="13" max="13" width="10.44140625" hidden="1" customWidth="1"/>
    <col min="14" max="14" width="20.109375" customWidth="1"/>
    <col min="15" max="15" width="17.5546875" customWidth="1"/>
    <col min="16" max="16" width="14.6640625" bestFit="1" customWidth="1"/>
    <col min="17" max="17" width="15.5546875" bestFit="1" customWidth="1"/>
    <col min="30" max="30" width="14.88671875" customWidth="1"/>
    <col min="31" max="31" width="4.33203125" customWidth="1"/>
    <col min="33" max="33" width="15.44140625" customWidth="1"/>
    <col min="34" max="34" width="13.33203125" customWidth="1"/>
    <col min="35" max="35" width="10.5546875" customWidth="1"/>
    <col min="36" max="36" width="11.109375" customWidth="1"/>
  </cols>
  <sheetData>
    <row r="4" spans="2:36" ht="26.4" x14ac:dyDescent="0.2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10" t="s">
        <v>31</v>
      </c>
      <c r="AG11" s="310"/>
      <c r="AH11" s="310"/>
      <c r="AI11" s="310"/>
      <c r="AJ11" s="310"/>
    </row>
    <row r="12" spans="2:36" x14ac:dyDescent="0.2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10" t="s">
        <v>32</v>
      </c>
      <c r="AG12" s="310"/>
      <c r="AH12" s="310"/>
      <c r="AI12" s="310"/>
      <c r="AJ12" s="310"/>
    </row>
    <row r="13" spans="2:36" x14ac:dyDescent="0.2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10" t="s">
        <v>33</v>
      </c>
      <c r="AG13" s="310"/>
      <c r="AH13" s="310"/>
      <c r="AI13" s="310"/>
      <c r="AJ13" s="310"/>
    </row>
    <row r="14" spans="2:36" x14ac:dyDescent="0.2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8" thickBot="1" x14ac:dyDescent="0.3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6" x14ac:dyDescent="0.3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6" x14ac:dyDescent="0.3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6" x14ac:dyDescent="0.3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6" x14ac:dyDescent="0.3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6" x14ac:dyDescent="0.3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6" x14ac:dyDescent="0.3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6" x14ac:dyDescent="0.3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6" x14ac:dyDescent="0.3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6" x14ac:dyDescent="0.3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6" x14ac:dyDescent="0.3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6" x14ac:dyDescent="0.3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2" thickBot="1" x14ac:dyDescent="0.35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6" x14ac:dyDescent="0.3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6" x14ac:dyDescent="0.3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6" x14ac:dyDescent="0.3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6" x14ac:dyDescent="0.3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8" thickBot="1" x14ac:dyDescent="0.3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5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5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8" thickBot="1" x14ac:dyDescent="0.3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5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8" thickBot="1" x14ac:dyDescent="0.3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5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5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8" thickBot="1" x14ac:dyDescent="0.3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5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5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5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5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5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5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5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5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5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5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5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5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5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5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5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5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5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5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5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5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5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5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5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5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5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5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5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5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5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5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5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5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5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5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5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5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5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5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5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5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5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5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5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5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5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5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5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5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5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5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5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5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5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5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5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5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5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5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5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5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5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5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5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5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5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5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5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5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5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5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5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5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5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5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5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5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5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5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5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5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5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5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5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5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5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5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5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5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5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8" thickBot="1" x14ac:dyDescent="0.3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5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5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5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5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5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5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5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5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5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5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5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5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5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5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5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5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5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5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5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5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5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5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5">
      <c r="B245" s="125">
        <f t="shared" ref="B245:B308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5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5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5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8629.1612903225814</v>
      </c>
      <c r="I256" s="180">
        <v>5569.0322580645161</v>
      </c>
      <c r="J256" s="180">
        <v>624992.16129032255</v>
      </c>
      <c r="K256" s="180">
        <v>531433.77419354836</v>
      </c>
      <c r="L256" s="180">
        <v>90899.580645161288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7" customFormat="1" x14ac:dyDescent="0.25">
      <c r="B257" s="183">
        <f t="shared" si="14"/>
        <v>2015.0833249000107</v>
      </c>
      <c r="C257" s="184">
        <v>42005</v>
      </c>
      <c r="D257" s="185">
        <v>9462.2258064516136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5607.9354838709678</v>
      </c>
      <c r="J257" s="185">
        <v>543248</v>
      </c>
      <c r="K257" s="185">
        <v>545663.48387096776</v>
      </c>
      <c r="L257" s="185">
        <v>86943.870967741939</v>
      </c>
      <c r="M257" s="185">
        <v>12718.741935483871</v>
      </c>
      <c r="N257" s="185">
        <f>+SUM(D257:M257)</f>
        <v>1233309.9032258063</v>
      </c>
      <c r="O257" s="185">
        <v>1294666.0900999999</v>
      </c>
      <c r="P257" s="186">
        <f>N257-N256</f>
        <v>-70223.548387096729</v>
      </c>
    </row>
    <row r="258" spans="1:16" s="187" customFormat="1" x14ac:dyDescent="0.25">
      <c r="B258" s="183">
        <f t="shared" si="14"/>
        <v>2015.1666582000107</v>
      </c>
      <c r="C258" s="184">
        <v>42036</v>
      </c>
      <c r="D258" s="185">
        <v>8833.7857142857138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10935.678571428571</v>
      </c>
      <c r="I258" s="185">
        <v>4576.3214285714284</v>
      </c>
      <c r="J258" s="185">
        <v>583878.07142857148</v>
      </c>
      <c r="K258" s="185">
        <v>513581.32142857142</v>
      </c>
      <c r="L258" s="185">
        <v>83334.071428571435</v>
      </c>
      <c r="M258" s="185">
        <v>14223.285714285714</v>
      </c>
      <c r="N258" s="185">
        <f t="shared" si="16"/>
        <v>1235733.75</v>
      </c>
      <c r="O258" s="185">
        <f>+O257</f>
        <v>1294666.0900999999</v>
      </c>
      <c r="P258" s="186">
        <f t="shared" si="12"/>
        <v>2423.8467741936911</v>
      </c>
    </row>
    <row r="259" spans="1:16" s="187" customFormat="1" x14ac:dyDescent="0.2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9418.9032258064508</v>
      </c>
      <c r="I259" s="185">
        <v>5308.3870967741932</v>
      </c>
      <c r="J259" s="185">
        <v>648717.80645161285</v>
      </c>
      <c r="K259" s="185">
        <v>459847.67741935485</v>
      </c>
      <c r="L259" s="185">
        <v>85955.193548387091</v>
      </c>
      <c r="M259" s="185">
        <v>14836.258064516129</v>
      </c>
      <c r="N259" s="185">
        <f t="shared" si="16"/>
        <v>1252104.5806451612</v>
      </c>
      <c r="O259" s="185">
        <f t="shared" ref="O259:O268" si="17">+O258</f>
        <v>1294666.0900999999</v>
      </c>
      <c r="P259" s="186">
        <f t="shared" si="12"/>
        <v>16370.830645161215</v>
      </c>
    </row>
    <row r="260" spans="1:16" s="187" customFormat="1" x14ac:dyDescent="0.25">
      <c r="B260" s="183">
        <f t="shared" si="14"/>
        <v>2015.3333248000108</v>
      </c>
      <c r="C260" s="184">
        <v>42095</v>
      </c>
      <c r="D260" s="185">
        <v>9274.7999999999993</v>
      </c>
      <c r="E260" s="185">
        <v>1581.2741766666666</v>
      </c>
      <c r="F260" s="185">
        <v>3099.2333333333331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594017.90183333331</v>
      </c>
      <c r="K260" s="185">
        <v>439317.15340999997</v>
      </c>
      <c r="L260" s="185">
        <v>63488.032713333334</v>
      </c>
      <c r="M260" s="185">
        <v>14572.772999999999</v>
      </c>
      <c r="N260" s="185">
        <f t="shared" si="16"/>
        <v>1153490.96845</v>
      </c>
      <c r="O260" s="185">
        <f t="shared" si="17"/>
        <v>1294666.0900999999</v>
      </c>
      <c r="P260" s="186">
        <f t="shared" ref="P260:P265" si="18">N260-N259</f>
        <v>-98613.612195161171</v>
      </c>
    </row>
    <row r="261" spans="1:16" s="187" customFormat="1" x14ac:dyDescent="0.25">
      <c r="B261" s="183">
        <f t="shared" si="14"/>
        <v>2015.4166581000109</v>
      </c>
      <c r="C261" s="184">
        <v>42125</v>
      </c>
      <c r="D261" s="185">
        <v>9211.9354838709678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8367.2258064516136</v>
      </c>
      <c r="I261" s="185">
        <v>7057.9677419354839</v>
      </c>
      <c r="J261" s="185">
        <v>616913.09677419357</v>
      </c>
      <c r="K261" s="185">
        <v>292298.3548387097</v>
      </c>
      <c r="L261" s="185">
        <v>57255.806451612902</v>
      </c>
      <c r="M261" s="185">
        <v>16405.612903225807</v>
      </c>
      <c r="N261" s="185">
        <f t="shared" si="16"/>
        <v>1025056.9677419355</v>
      </c>
      <c r="O261" s="185">
        <f t="shared" si="17"/>
        <v>1294666.0900999999</v>
      </c>
      <c r="P261" s="186">
        <f t="shared" si="18"/>
        <v>-128434.00070806453</v>
      </c>
    </row>
    <row r="262" spans="1:16" s="187" customFormat="1" x14ac:dyDescent="0.25">
      <c r="B262" s="183">
        <f t="shared" si="14"/>
        <v>2015.4999914000109</v>
      </c>
      <c r="C262" s="184">
        <v>42156</v>
      </c>
      <c r="D262" s="185">
        <v>9021.7333333333336</v>
      </c>
      <c r="E262" s="185">
        <v>2145.1999999999998</v>
      </c>
      <c r="F262" s="185">
        <v>3132.7333333333331</v>
      </c>
      <c r="G262" s="185">
        <v>14032.866666666667</v>
      </c>
      <c r="H262" s="185">
        <v>11017.8</v>
      </c>
      <c r="I262" s="185">
        <v>7550.0666666666666</v>
      </c>
      <c r="J262" s="185">
        <v>709752.16666666663</v>
      </c>
      <c r="K262" s="185">
        <v>493899.83333333331</v>
      </c>
      <c r="L262" s="185">
        <v>87204.46666666666</v>
      </c>
      <c r="M262" s="185">
        <v>13853.066666666668</v>
      </c>
      <c r="N262" s="185">
        <f t="shared" si="16"/>
        <v>1351609.9333333331</v>
      </c>
      <c r="O262" s="185">
        <f t="shared" si="17"/>
        <v>1294666.0900999999</v>
      </c>
      <c r="P262" s="186">
        <f t="shared" si="18"/>
        <v>326552.9655913976</v>
      </c>
    </row>
    <row r="263" spans="1:16" s="187" customFormat="1" x14ac:dyDescent="0.25">
      <c r="B263" s="183">
        <f t="shared" si="14"/>
        <v>2015.583324700011</v>
      </c>
      <c r="C263" s="184">
        <v>42186</v>
      </c>
      <c r="D263" s="185">
        <v>8545.8709677419356</v>
      </c>
      <c r="E263" s="185">
        <v>2170.0645161290322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690871.58064516133</v>
      </c>
      <c r="K263" s="185">
        <v>413778.67741935485</v>
      </c>
      <c r="L263" s="185">
        <v>66311</v>
      </c>
      <c r="M263" s="185">
        <v>11851</v>
      </c>
      <c r="N263" s="185">
        <f t="shared" ref="N263:N268" si="19">+SUM(D263:M263)</f>
        <v>1225001.4516129033</v>
      </c>
      <c r="O263" s="185">
        <f t="shared" si="17"/>
        <v>1294666.0900999999</v>
      </c>
      <c r="P263" s="186">
        <f t="shared" si="18"/>
        <v>-126608.48172042985</v>
      </c>
    </row>
    <row r="264" spans="1:16" s="187" customFormat="1" x14ac:dyDescent="0.2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2248.9354838709678</v>
      </c>
      <c r="F264" s="185">
        <v>2970.483870967742</v>
      </c>
      <c r="G264" s="185">
        <v>14873</v>
      </c>
      <c r="H264" s="185">
        <v>10305.161290322581</v>
      </c>
      <c r="I264" s="185">
        <v>7934.4193548387093</v>
      </c>
      <c r="J264" s="185">
        <v>690308.41935483867</v>
      </c>
      <c r="K264" s="185">
        <v>114776.03225806452</v>
      </c>
      <c r="L264" s="185">
        <v>36666.870967741932</v>
      </c>
      <c r="M264" s="185">
        <v>27430.451612903227</v>
      </c>
      <c r="N264" s="185">
        <f t="shared" si="19"/>
        <v>917233.74193548388</v>
      </c>
      <c r="O264" s="185">
        <f t="shared" si="17"/>
        <v>1294666.0900999999</v>
      </c>
      <c r="P264" s="186">
        <f t="shared" si="18"/>
        <v>-307767.70967741939</v>
      </c>
    </row>
    <row r="265" spans="1:16" s="187" customFormat="1" x14ac:dyDescent="0.25">
      <c r="B265" s="183">
        <f t="shared" si="14"/>
        <v>2015.7499913000111</v>
      </c>
      <c r="C265" s="184">
        <v>42248</v>
      </c>
      <c r="D265" s="185">
        <v>10156.733333333334</v>
      </c>
      <c r="E265" s="185">
        <v>2365.1999999999998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660422.72666666668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1294666.0900999999</v>
      </c>
      <c r="P265" s="186">
        <f t="shared" si="18"/>
        <v>149264.12573118298</v>
      </c>
    </row>
    <row r="266" spans="1:16" s="187" customFormat="1" x14ac:dyDescent="0.25">
      <c r="B266" s="183">
        <f t="shared" si="14"/>
        <v>2015.8333246000111</v>
      </c>
      <c r="C266" s="184">
        <v>42278</v>
      </c>
      <c r="D266" s="185">
        <v>10230.096774193549</v>
      </c>
      <c r="E266" s="185">
        <v>2386.1280645161291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724629.96709677426</v>
      </c>
      <c r="K266" s="185">
        <v>495241.04870967742</v>
      </c>
      <c r="L266" s="185">
        <v>85658.413225806449</v>
      </c>
      <c r="M266" s="185">
        <v>19667.453548387097</v>
      </c>
      <c r="N266" s="185">
        <f t="shared" si="19"/>
        <v>1372026.7996774197</v>
      </c>
      <c r="O266" s="185">
        <f t="shared" si="17"/>
        <v>1294666.0900999999</v>
      </c>
      <c r="P266" s="186">
        <f>N266-N265</f>
        <v>305528.93201075285</v>
      </c>
    </row>
    <row r="267" spans="1:16" s="187" customFormat="1" x14ac:dyDescent="0.2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2416.2333333333331</v>
      </c>
      <c r="F267" s="185">
        <v>2855.1</v>
      </c>
      <c r="G267" s="185">
        <v>13881.633333333333</v>
      </c>
      <c r="H267" s="185">
        <v>12016.9</v>
      </c>
      <c r="I267" s="185">
        <v>6130.5666666666666</v>
      </c>
      <c r="J267" s="185">
        <v>703397.93333333335</v>
      </c>
      <c r="K267" s="185">
        <v>491247.8</v>
      </c>
      <c r="L267" s="185">
        <v>94854.566666666666</v>
      </c>
      <c r="M267" s="185">
        <v>16332.566666666668</v>
      </c>
      <c r="N267" s="185">
        <f t="shared" si="19"/>
        <v>1353317.1333333333</v>
      </c>
      <c r="O267" s="185">
        <f t="shared" si="17"/>
        <v>1294666.0900999999</v>
      </c>
      <c r="P267" s="186">
        <f>N267-N266</f>
        <v>-18709.666344086407</v>
      </c>
    </row>
    <row r="268" spans="1:16" s="187" customFormat="1" x14ac:dyDescent="0.2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7175.3870967741932</v>
      </c>
      <c r="J268" s="192">
        <v>658062.03225806449</v>
      </c>
      <c r="K268" s="192">
        <v>529471.93548387091</v>
      </c>
      <c r="L268" s="192">
        <v>74477.419354838712</v>
      </c>
      <c r="M268" s="192">
        <v>19378.290322580644</v>
      </c>
      <c r="N268" s="192">
        <f t="shared" si="19"/>
        <v>1326580.8709677418</v>
      </c>
      <c r="O268" s="192">
        <f t="shared" si="17"/>
        <v>1294666.0900999999</v>
      </c>
      <c r="P268" s="193">
        <f>N268-N267</f>
        <v>-26736.262365591479</v>
      </c>
    </row>
    <row r="269" spans="1:16" x14ac:dyDescent="0.2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10120.903225806451</v>
      </c>
      <c r="I269" s="194">
        <v>7483.4193548387093</v>
      </c>
      <c r="J269" s="194">
        <v>559286.12903225806</v>
      </c>
      <c r="K269" s="194">
        <v>303206.38709677418</v>
      </c>
      <c r="L269" s="194">
        <v>63920.258064516129</v>
      </c>
      <c r="M269" s="194">
        <v>29750.032258064515</v>
      </c>
      <c r="N269" s="194">
        <f t="shared" ref="N269:N278" si="20">+SUM(D269:M269)</f>
        <v>998675.32258064509</v>
      </c>
      <c r="O269" s="220">
        <v>1350904.1949</v>
      </c>
      <c r="P269" s="194">
        <f>N269-N268</f>
        <v>-327905.54838709673</v>
      </c>
    </row>
    <row r="270" spans="1:16" s="5" customFormat="1" ht="13.5" customHeight="1" x14ac:dyDescent="0.25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3109.4482758620688</v>
      </c>
      <c r="G270" s="194">
        <v>13098.068965517241</v>
      </c>
      <c r="H270" s="194">
        <v>8577.0051310344825</v>
      </c>
      <c r="I270" s="194">
        <v>7077.8932999999997</v>
      </c>
      <c r="J270" s="194">
        <v>652481.16996551724</v>
      </c>
      <c r="K270" s="194">
        <v>317178.39746206894</v>
      </c>
      <c r="L270" s="194">
        <v>32485.054548275861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t="shared" ref="P270:P278" si="21">N270-N269</f>
        <v>64550.64622969972</v>
      </c>
    </row>
    <row r="271" spans="1:16" s="5" customFormat="1" x14ac:dyDescent="0.25">
      <c r="A271" s="187"/>
      <c r="B271" s="183">
        <f t="shared" si="14"/>
        <v>2016.2499911000114</v>
      </c>
      <c r="C271" s="219">
        <v>42430</v>
      </c>
      <c r="D271" s="194">
        <v>8281.8064516129034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7185.5603516129031</v>
      </c>
      <c r="J271" s="194">
        <v>637085.91187741933</v>
      </c>
      <c r="K271" s="194">
        <v>511111.62507096777</v>
      </c>
      <c r="L271" s="194">
        <v>91207.169709677415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x14ac:dyDescent="0.25">
      <c r="A272" s="187"/>
      <c r="B272" s="183">
        <f t="shared" si="14"/>
        <v>2016.3333244000114</v>
      </c>
      <c r="C272" s="219">
        <v>42461</v>
      </c>
      <c r="D272" s="194">
        <v>7452.2666666666664</v>
      </c>
      <c r="E272" s="194">
        <v>2188.4666666666667</v>
      </c>
      <c r="F272" s="194">
        <v>3042.6</v>
      </c>
      <c r="G272" s="194">
        <v>13807.9</v>
      </c>
      <c r="H272" s="194">
        <v>10368.200000000001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1313613.8666666669</v>
      </c>
      <c r="O272" s="218">
        <f>+O271</f>
        <v>1350904.1949</v>
      </c>
      <c r="P272" s="194">
        <f t="shared" si="21"/>
        <v>15794.193289247574</v>
      </c>
    </row>
    <row r="273" spans="1:18" x14ac:dyDescent="0.25">
      <c r="A273" s="187"/>
      <c r="B273" s="183">
        <f t="shared" si="14"/>
        <v>2016.4166577000115</v>
      </c>
      <c r="C273" s="219">
        <v>42491</v>
      </c>
      <c r="D273" s="194">
        <v>7816.7419354838712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8919.9354838709678</v>
      </c>
      <c r="I273" s="194">
        <v>6482.4516129032254</v>
      </c>
      <c r="J273" s="194">
        <v>739284.67741935479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t="shared" ref="O273:O279" si="22">+O272</f>
        <v>1350904.1949</v>
      </c>
      <c r="P273" s="194">
        <f t="shared" si="21"/>
        <v>132914.29462365573</v>
      </c>
    </row>
    <row r="274" spans="1:18" x14ac:dyDescent="0.2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329147.03333333333</v>
      </c>
      <c r="L274" s="194">
        <v>143244.43333333332</v>
      </c>
      <c r="M274" s="194">
        <v>24832.400000000001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-120439.19462365611</v>
      </c>
      <c r="R274" s="4"/>
    </row>
    <row r="275" spans="1:18" x14ac:dyDescent="0.25">
      <c r="A275" s="187"/>
      <c r="B275" s="183">
        <f t="shared" si="14"/>
        <v>2016.5833243000116</v>
      </c>
      <c r="C275" s="219">
        <v>42552</v>
      </c>
      <c r="D275" s="194">
        <v>7704.1290322580644</v>
      </c>
      <c r="E275" s="194">
        <v>2297.9354838709678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8421.5161290322576</v>
      </c>
      <c r="J275" s="194">
        <v>792049.48387096776</v>
      </c>
      <c r="K275" s="194">
        <v>480176.19354838709</v>
      </c>
      <c r="L275" s="194">
        <v>182516.51612903227</v>
      </c>
      <c r="M275" s="194">
        <v>8831.6129032258068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8" x14ac:dyDescent="0.25">
      <c r="A276" s="187"/>
      <c r="B276" s="183">
        <f t="shared" si="14"/>
        <v>2016.6666576000116</v>
      </c>
      <c r="C276" s="219">
        <v>42583</v>
      </c>
      <c r="D276" s="194">
        <v>8428.8064516129034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7914.0951677419353</v>
      </c>
      <c r="J276" s="194">
        <v>754020.01422258071</v>
      </c>
      <c r="K276" s="194">
        <v>478459.91600322578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8" x14ac:dyDescent="0.25">
      <c r="A277" s="187"/>
      <c r="B277" s="183">
        <f t="shared" si="14"/>
        <v>2016.7499909000117</v>
      </c>
      <c r="C277" s="219">
        <v>42614</v>
      </c>
      <c r="D277" s="194">
        <v>8989.5666666666675</v>
      </c>
      <c r="E277" s="194">
        <v>2683.4080200000003</v>
      </c>
      <c r="F277" s="194">
        <v>3036.2666666666669</v>
      </c>
      <c r="G277" s="194">
        <v>15015.933333333332</v>
      </c>
      <c r="H277" s="194">
        <v>9905.5259000000005</v>
      </c>
      <c r="I277" s="194">
        <v>8128.5949266666667</v>
      </c>
      <c r="J277" s="194">
        <v>678021.24197333329</v>
      </c>
      <c r="K277" s="194">
        <v>501939.91141</v>
      </c>
      <c r="L277" s="194">
        <v>158650.46111999999</v>
      </c>
      <c r="M277" s="194">
        <v>4629.1428333333333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-77104.471740322653</v>
      </c>
    </row>
    <row r="278" spans="1:18" x14ac:dyDescent="0.25">
      <c r="A278" s="187"/>
      <c r="B278" s="183">
        <f t="shared" si="14"/>
        <v>2016.8333242000117</v>
      </c>
      <c r="C278" s="219">
        <v>42644</v>
      </c>
      <c r="D278" s="194">
        <v>8977.0645161290322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8450.0814580645165</v>
      </c>
      <c r="J278" s="194">
        <v>701969.90909677418</v>
      </c>
      <c r="K278" s="194">
        <v>481197.28746451612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8" x14ac:dyDescent="0.25">
      <c r="A279" s="187"/>
      <c r="B279" s="183">
        <f t="shared" si="14"/>
        <v>2016.9166575000118</v>
      </c>
      <c r="C279" s="219">
        <v>42675</v>
      </c>
      <c r="D279" s="194">
        <v>8435.1333333333332</v>
      </c>
      <c r="E279" s="194">
        <v>2718.0299799999998</v>
      </c>
      <c r="F279" s="194">
        <v>3281.8666666666668</v>
      </c>
      <c r="G279" s="194">
        <v>15555.366666666667</v>
      </c>
      <c r="H279" s="194">
        <v>10897.418966666668</v>
      </c>
      <c r="I279" s="194">
        <v>7918.9320366666661</v>
      </c>
      <c r="J279" s="194">
        <v>808606.64685999998</v>
      </c>
      <c r="K279" s="194">
        <v>509275.32376999996</v>
      </c>
      <c r="L279" s="194">
        <v>161531.01057333333</v>
      </c>
      <c r="M279" s="194">
        <v>6048.9571699999997</v>
      </c>
      <c r="N279" s="194">
        <f>+SUM(D279:M279)</f>
        <v>1534268.6860233333</v>
      </c>
      <c r="O279" s="217">
        <f t="shared" si="22"/>
        <v>1350904.1949</v>
      </c>
      <c r="P279" s="194">
        <f t="shared" ref="P279:P292" si="23">N279-N278</f>
        <v>134172.25368784973</v>
      </c>
    </row>
    <row r="280" spans="1:18" x14ac:dyDescent="0.25">
      <c r="A280" s="187"/>
      <c r="B280" s="183">
        <f t="shared" si="14"/>
        <v>2016.9999908000118</v>
      </c>
      <c r="C280" s="219">
        <v>42705</v>
      </c>
      <c r="D280" s="194">
        <v>8295.8387096774186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7486.5774483870973</v>
      </c>
      <c r="J280" s="194">
        <v>739194.30818709685</v>
      </c>
      <c r="K280" s="194">
        <v>507609.01470322581</v>
      </c>
      <c r="L280" s="194">
        <v>150716.28651935485</v>
      </c>
      <c r="M280" s="194">
        <v>81.387096774193552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-88566.907255591126</v>
      </c>
    </row>
    <row r="281" spans="1:18" s="131" customFormat="1" x14ac:dyDescent="0.2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1:18" s="5" customFormat="1" x14ac:dyDescent="0.25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1245812.264</v>
      </c>
      <c r="P282" s="128">
        <f t="shared" si="23"/>
        <v>-45922.550474193646</v>
      </c>
    </row>
    <row r="283" spans="1:18" s="5" customFormat="1" x14ac:dyDescent="0.25">
      <c r="B283" s="125">
        <f t="shared" si="14"/>
        <v>2017.2499907000119</v>
      </c>
      <c r="C283" s="132">
        <v>42795</v>
      </c>
      <c r="N283" s="128">
        <v>1204775.2013000001</v>
      </c>
      <c r="O283" s="128">
        <f t="shared" ref="O283:O292" si="24">+O282</f>
        <v>1245812.264</v>
      </c>
      <c r="P283" s="128">
        <f t="shared" si="23"/>
        <v>27183.228400000138</v>
      </c>
    </row>
    <row r="284" spans="1:18" s="5" customFormat="1" x14ac:dyDescent="0.2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-61681.494600000093</v>
      </c>
    </row>
    <row r="285" spans="1:18" x14ac:dyDescent="0.2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1:18" x14ac:dyDescent="0.25">
      <c r="B286" s="125">
        <f t="shared" si="14"/>
        <v>2017.4999906000121</v>
      </c>
      <c r="C286" s="132">
        <v>42887</v>
      </c>
      <c r="D286"/>
      <c r="E286"/>
      <c r="F286"/>
      <c r="N286" s="128">
        <v>1263196.8907000001</v>
      </c>
      <c r="O286" s="128">
        <f t="shared" si="24"/>
        <v>1245812.264</v>
      </c>
      <c r="P286" s="128">
        <f>N286-N285</f>
        <v>102673.25130000012</v>
      </c>
    </row>
    <row r="287" spans="1:18" x14ac:dyDescent="0.2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1:18" x14ac:dyDescent="0.2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1370849.5386000001</v>
      </c>
      <c r="O288" s="128">
        <f t="shared" si="24"/>
        <v>1245812.264</v>
      </c>
      <c r="P288" s="128">
        <f t="shared" si="23"/>
        <v>210108.55300000007</v>
      </c>
    </row>
    <row r="289" spans="2:18" x14ac:dyDescent="0.2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-97453.848200000124</v>
      </c>
    </row>
    <row r="290" spans="2:18" x14ac:dyDescent="0.2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1344459.2986000001</v>
      </c>
      <c r="O290" s="128">
        <f t="shared" si="24"/>
        <v>1245812.264</v>
      </c>
      <c r="P290" s="128">
        <f>N290-N289</f>
        <v>71063.608200000133</v>
      </c>
    </row>
    <row r="291" spans="2:18" x14ac:dyDescent="0.2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1377579.1163999999</v>
      </c>
      <c r="O291" s="128">
        <f>+O290</f>
        <v>1245812.264</v>
      </c>
      <c r="P291" s="128">
        <f>N291-N290</f>
        <v>33119.817799999844</v>
      </c>
    </row>
    <row r="292" spans="2:18" x14ac:dyDescent="0.2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1320929.9458000001</v>
      </c>
      <c r="O292" s="128">
        <f t="shared" si="24"/>
        <v>1245812.264</v>
      </c>
      <c r="P292" s="128">
        <f t="shared" si="23"/>
        <v>-56649.170599999838</v>
      </c>
    </row>
    <row r="293" spans="2:18" x14ac:dyDescent="0.2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1197245.8237000001</v>
      </c>
      <c r="P293" s="245">
        <f t="shared" ref="P293:P303" si="25">N293-N292</f>
        <v>-181603.56410000008</v>
      </c>
    </row>
    <row r="294" spans="2:18" x14ac:dyDescent="0.2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849299.34869999997</v>
      </c>
      <c r="O294" s="244">
        <f t="shared" ref="O294:O304" si="26">+O293</f>
        <v>1197245.8237000001</v>
      </c>
      <c r="P294" s="245">
        <f t="shared" si="25"/>
        <v>-290027.03300000005</v>
      </c>
    </row>
    <row r="295" spans="2:18" x14ac:dyDescent="0.2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1163361.3285000001</v>
      </c>
      <c r="O295" s="244">
        <f t="shared" si="26"/>
        <v>1197245.8237000001</v>
      </c>
      <c r="P295" s="245">
        <f t="shared" si="25"/>
        <v>314061.97980000009</v>
      </c>
    </row>
    <row r="296" spans="2:18" x14ac:dyDescent="0.2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1197245.8237000001</v>
      </c>
      <c r="P296" s="245">
        <f t="shared" si="25"/>
        <v>54717.671499999939</v>
      </c>
    </row>
    <row r="297" spans="2:18" x14ac:dyDescent="0.2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1295738.0527999999</v>
      </c>
      <c r="O297" s="244">
        <f t="shared" si="26"/>
        <v>1197245.8237000001</v>
      </c>
      <c r="P297" s="245">
        <f t="shared" si="25"/>
        <v>77659.052799999947</v>
      </c>
    </row>
    <row r="298" spans="2:18" x14ac:dyDescent="0.2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1197245.8237000001</v>
      </c>
      <c r="P298" s="245">
        <f t="shared" si="25"/>
        <v>107746.53750000009</v>
      </c>
    </row>
    <row r="299" spans="2:18" x14ac:dyDescent="0.2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1197245.8237000001</v>
      </c>
      <c r="P299" s="245">
        <f t="shared" si="25"/>
        <v>-102755.38280000002</v>
      </c>
    </row>
    <row r="300" spans="2:18" x14ac:dyDescent="0.2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953869.47360000003</v>
      </c>
      <c r="O300" s="244">
        <f t="shared" si="26"/>
        <v>1197245.8237000001</v>
      </c>
      <c r="P300" s="245">
        <f t="shared" si="25"/>
        <v>-346859.73389999999</v>
      </c>
    </row>
    <row r="301" spans="2:18" x14ac:dyDescent="0.2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1432568.3633000001</v>
      </c>
      <c r="O301" s="244">
        <f t="shared" si="26"/>
        <v>1197245.8237000001</v>
      </c>
      <c r="P301" s="245">
        <f t="shared" si="25"/>
        <v>478698.88970000006</v>
      </c>
    </row>
    <row r="302" spans="2:18" x14ac:dyDescent="0.25">
      <c r="B302" s="243">
        <f t="shared" si="14"/>
        <v>2018.8333234000129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1197245.8237000001</v>
      </c>
      <c r="P302" s="245">
        <f t="shared" si="25"/>
        <v>-226925.71830000007</v>
      </c>
    </row>
    <row r="303" spans="2:18" x14ac:dyDescent="0.25">
      <c r="B303" s="243">
        <f t="shared" si="14"/>
        <v>2018.9166567000129</v>
      </c>
      <c r="C303" s="132">
        <v>43405</v>
      </c>
      <c r="D303"/>
      <c r="E303" s="20"/>
      <c r="F303" s="20"/>
      <c r="N303" s="266">
        <v>1374884.0149000001</v>
      </c>
      <c r="O303" s="244">
        <f t="shared" si="26"/>
        <v>1197245.8237000001</v>
      </c>
      <c r="P303" s="245">
        <f t="shared" si="25"/>
        <v>169241.36990000005</v>
      </c>
    </row>
    <row r="304" spans="2:18" x14ac:dyDescent="0.2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1412080.9691999999</v>
      </c>
      <c r="O304" s="244">
        <f t="shared" si="26"/>
        <v>1197245.8237000001</v>
      </c>
      <c r="P304" s="245">
        <f t="shared" ref="P304:P311" si="27">N304-N303</f>
        <v>37196.954299999867</v>
      </c>
      <c r="R304">
        <v>38899678.891099997</v>
      </c>
    </row>
    <row r="305" spans="2:18" x14ac:dyDescent="0.2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1299273.6229000001</v>
      </c>
      <c r="P305" s="275">
        <f t="shared" si="27"/>
        <v>-96134.350899999961</v>
      </c>
      <c r="R305">
        <f>+R304/31</f>
        <v>1254828.3513258065</v>
      </c>
    </row>
    <row r="306" spans="2:18" x14ac:dyDescent="0.25">
      <c r="B306" s="273">
        <f t="shared" si="14"/>
        <v>2019.1666566000131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1299273.6229000001</v>
      </c>
      <c r="P306" s="275">
        <f t="shared" si="27"/>
        <v>-51787.264699999942</v>
      </c>
    </row>
    <row r="307" spans="2:18" x14ac:dyDescent="0.2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1299273.6229000001</v>
      </c>
      <c r="P307" s="275">
        <f t="shared" si="27"/>
        <v>-69433.645400000038</v>
      </c>
      <c r="R307">
        <v>44722640.773100004</v>
      </c>
    </row>
    <row r="308" spans="2:18" x14ac:dyDescent="0.2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1299273.6229000001</v>
      </c>
      <c r="P308" s="275">
        <f t="shared" si="27"/>
        <v>-75639.937799999956</v>
      </c>
      <c r="R308">
        <v>30</v>
      </c>
    </row>
    <row r="309" spans="2:18" x14ac:dyDescent="0.25">
      <c r="B309" s="273">
        <f t="shared" ref="B309:B317" si="28">+B308+0.0833333</f>
        <v>2019.4166565000132</v>
      </c>
      <c r="C309" s="274">
        <v>43586</v>
      </c>
      <c r="D309"/>
      <c r="E309" s="20"/>
      <c r="F309" s="20"/>
      <c r="N309" s="271">
        <v>1085771.1066000001</v>
      </c>
      <c r="O309" s="271">
        <v>1299273.6229000001</v>
      </c>
      <c r="P309" s="275">
        <f t="shared" si="27"/>
        <v>-33314.66379999998</v>
      </c>
    </row>
    <row r="310" spans="2:18" x14ac:dyDescent="0.2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1121341.1847999999</v>
      </c>
      <c r="O310" s="271">
        <v>1299273.6229000001</v>
      </c>
      <c r="P310" s="275">
        <f t="shared" si="27"/>
        <v>35570.078199999873</v>
      </c>
    </row>
    <row r="311" spans="2:18" x14ac:dyDescent="0.2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1340583.2339999999</v>
      </c>
      <c r="O311" s="271">
        <v>1299273.6229000001</v>
      </c>
      <c r="P311" s="275">
        <f t="shared" si="27"/>
        <v>219242.04920000001</v>
      </c>
    </row>
    <row r="312" spans="2:18" x14ac:dyDescent="0.2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1509143.8178999999</v>
      </c>
      <c r="O312" s="271">
        <v>1299273.6229000001</v>
      </c>
      <c r="P312" s="275">
        <f t="shared" ref="P312:P317" si="29">N312-N311</f>
        <v>168560.58389999997</v>
      </c>
    </row>
    <row r="313" spans="2:18" x14ac:dyDescent="0.2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1299273.6229000001</v>
      </c>
      <c r="P313" s="275">
        <f t="shared" si="29"/>
        <v>46816.437200000044</v>
      </c>
      <c r="Q313">
        <f>+R307/R308</f>
        <v>1490754.6924366667</v>
      </c>
    </row>
    <row r="314" spans="2:18" x14ac:dyDescent="0.2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1299273.6229000001</v>
      </c>
      <c r="P314" s="275">
        <f t="shared" si="29"/>
        <v>-136508.62419999996</v>
      </c>
    </row>
    <row r="315" spans="2:18" x14ac:dyDescent="0.2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1299273.6229000001</v>
      </c>
      <c r="P315" s="275">
        <f t="shared" si="29"/>
        <v>-1081.6903999999631</v>
      </c>
    </row>
    <row r="316" spans="2:18" x14ac:dyDescent="0.2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1299273.6229000001</v>
      </c>
      <c r="P316" s="275">
        <f t="shared" si="29"/>
        <v>-174471.94050000003</v>
      </c>
    </row>
    <row r="317" spans="2:18" x14ac:dyDescent="0.2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1160730.4550000001</v>
      </c>
      <c r="P317" s="282">
        <f t="shared" si="29"/>
        <v>-32177.30839999998</v>
      </c>
    </row>
    <row r="318" spans="2:18" x14ac:dyDescent="0.25">
      <c r="B318" s="243">
        <f t="shared" ref="B318:B323" si="30">+B317+0.0833333</f>
        <v>2020.1666562000137</v>
      </c>
      <c r="C318" s="132">
        <v>43862</v>
      </c>
      <c r="D318"/>
      <c r="E318" s="20"/>
      <c r="F318" s="20"/>
      <c r="N318" s="128">
        <v>1249771.6869000001</v>
      </c>
      <c r="O318" s="128">
        <v>1160730.4550000001</v>
      </c>
      <c r="P318" s="282">
        <f t="shared" ref="P318:P323" si="31">N318-N317</f>
        <v>38050.995300000068</v>
      </c>
    </row>
    <row r="319" spans="2:18" x14ac:dyDescent="0.2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1160730.4550000001</v>
      </c>
      <c r="P319" s="282">
        <f t="shared" si="31"/>
        <v>-346461.64690000005</v>
      </c>
    </row>
    <row r="320" spans="2:18" x14ac:dyDescent="0.2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790178.82979999995</v>
      </c>
      <c r="O320" s="128">
        <v>1160730.4550000001</v>
      </c>
      <c r="P320" s="282">
        <f t="shared" si="31"/>
        <v>-113131.21020000009</v>
      </c>
    </row>
    <row r="321" spans="2:18" x14ac:dyDescent="0.2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845915.21279999998</v>
      </c>
      <c r="O321" s="128">
        <v>1160730.4550000001</v>
      </c>
      <c r="P321" s="282">
        <f t="shared" si="31"/>
        <v>55736.383000000031</v>
      </c>
    </row>
    <row r="322" spans="2:18" x14ac:dyDescent="0.2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832774.50080000004</v>
      </c>
      <c r="O322" s="128">
        <v>1160730.4550000001</v>
      </c>
      <c r="P322" s="282">
        <f t="shared" si="31"/>
        <v>-13140.711999999941</v>
      </c>
    </row>
    <row r="323" spans="2:18" x14ac:dyDescent="0.25">
      <c r="B323" s="243">
        <f t="shared" si="30"/>
        <v>2020.5833227000139</v>
      </c>
      <c r="C323" s="132">
        <v>44013</v>
      </c>
      <c r="D323"/>
      <c r="E323" s="20"/>
      <c r="F323" s="20"/>
      <c r="N323" s="128">
        <v>1346101.4935000001</v>
      </c>
      <c r="O323" s="128">
        <v>1160730.4550000001</v>
      </c>
      <c r="P323" s="282">
        <f t="shared" si="31"/>
        <v>513326.99270000006</v>
      </c>
    </row>
    <row r="324" spans="2:18" x14ac:dyDescent="0.2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1298655.1540000001</v>
      </c>
      <c r="O324" s="128">
        <v>1160730.4550000001</v>
      </c>
      <c r="P324" s="282">
        <f>N324-N323</f>
        <v>-47446.339500000002</v>
      </c>
    </row>
    <row r="325" spans="2:18" x14ac:dyDescent="0.25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1342976.2357000001</v>
      </c>
      <c r="O325" s="128">
        <v>1160730.4550000001</v>
      </c>
      <c r="P325" s="282">
        <f>N325-N324</f>
        <v>44321.081699999981</v>
      </c>
    </row>
    <row r="326" spans="2:18" x14ac:dyDescent="0.25">
      <c r="B326" s="243">
        <f>+B325+0.0833333</f>
        <v>2020.8333226000141</v>
      </c>
      <c r="C326" s="132">
        <v>44105</v>
      </c>
      <c r="D326"/>
      <c r="E326" s="20"/>
      <c r="F326" s="20"/>
      <c r="N326" s="128">
        <v>1254828.3513</v>
      </c>
      <c r="O326" s="128">
        <v>1160730.4550000001</v>
      </c>
      <c r="P326" s="282">
        <f>N326-N325</f>
        <v>-88147.884400000097</v>
      </c>
    </row>
    <row r="327" spans="2:18" x14ac:dyDescent="0.25">
      <c r="B327" s="243">
        <f>+B326+0.0833333</f>
        <v>2020.9166559000141</v>
      </c>
      <c r="C327" s="132">
        <v>44136</v>
      </c>
      <c r="D327"/>
      <c r="E327" s="20"/>
      <c r="F327" s="20"/>
      <c r="N327" s="128">
        <v>1490754.6924000001</v>
      </c>
      <c r="O327" s="128">
        <v>1160730.4550000001</v>
      </c>
      <c r="P327" s="282">
        <f>N327-N326</f>
        <v>235926.34110000008</v>
      </c>
    </row>
    <row r="328" spans="2:18" x14ac:dyDescent="0.25">
      <c r="B328" s="243">
        <f>+B327+0.0833333</f>
        <v>2020.9999892000142</v>
      </c>
      <c r="C328" s="132">
        <v>44166</v>
      </c>
      <c r="D328"/>
      <c r="E328" s="20"/>
      <c r="F328" s="20"/>
      <c r="N328" s="128">
        <v>1361515.5016000001</v>
      </c>
      <c r="O328" s="128">
        <v>1160730.4550000001</v>
      </c>
      <c r="P328" s="282">
        <f>N328-N327</f>
        <v>-129239.19079999998</v>
      </c>
    </row>
    <row r="329" spans="2:18" x14ac:dyDescent="0.25">
      <c r="B329" s="287">
        <f t="shared" ref="B329:B340" si="32">+B328+0.0833333</f>
        <v>2021.0833225000142</v>
      </c>
      <c r="C329" s="288">
        <v>44197</v>
      </c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93">
        <v>1150031.7105</v>
      </c>
      <c r="O329" s="293">
        <v>1064278.3337999999</v>
      </c>
      <c r="P329" s="292">
        <f>+N329-N328</f>
        <v>-211483.79110000003</v>
      </c>
    </row>
    <row r="330" spans="2:18" x14ac:dyDescent="0.25">
      <c r="B330" s="287">
        <f t="shared" si="32"/>
        <v>2021.1666558000143</v>
      </c>
      <c r="C330" s="288">
        <v>44228</v>
      </c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93">
        <v>1172289.7331000001</v>
      </c>
      <c r="O330" s="293">
        <f>+O329</f>
        <v>1064278.3337999999</v>
      </c>
      <c r="P330" s="292">
        <f>+N330-N329</f>
        <v>22258.022600000026</v>
      </c>
      <c r="R330" s="289"/>
    </row>
    <row r="331" spans="2:18" x14ac:dyDescent="0.25">
      <c r="B331" s="287">
        <f t="shared" si="32"/>
        <v>2021.2499891000143</v>
      </c>
      <c r="C331" s="288">
        <v>44256</v>
      </c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93">
        <v>1067744.5911999999</v>
      </c>
      <c r="O331" s="293">
        <f>+O330</f>
        <v>1064278.3337999999</v>
      </c>
      <c r="P331" s="292">
        <f>+N331-N330</f>
        <v>-104545.14190000016</v>
      </c>
    </row>
    <row r="332" spans="2:18" x14ac:dyDescent="0.25">
      <c r="B332" s="287">
        <f t="shared" si="32"/>
        <v>2021.3333224000144</v>
      </c>
      <c r="C332" s="288">
        <v>44287</v>
      </c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93">
        <v>871274.07209999999</v>
      </c>
      <c r="O332" s="293">
        <f>+O331</f>
        <v>1064278.3337999999</v>
      </c>
      <c r="P332" s="292">
        <f>+N332-N331</f>
        <v>-196470.51909999992</v>
      </c>
    </row>
    <row r="333" spans="2:18" x14ac:dyDescent="0.25">
      <c r="B333" s="287">
        <f t="shared" si="32"/>
        <v>2021.4166557000144</v>
      </c>
      <c r="C333" s="288">
        <v>44317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93">
        <f t="shared" ref="O333:O340" si="33">+O332</f>
        <v>1064278.3337999999</v>
      </c>
      <c r="P333" s="285"/>
    </row>
    <row r="334" spans="2:18" x14ac:dyDescent="0.25">
      <c r="B334" s="287">
        <f t="shared" si="32"/>
        <v>2021.4999890000145</v>
      </c>
      <c r="C334" s="288">
        <v>44348</v>
      </c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93">
        <f t="shared" si="33"/>
        <v>1064278.3337999999</v>
      </c>
      <c r="P334" s="285"/>
    </row>
    <row r="335" spans="2:18" x14ac:dyDescent="0.25">
      <c r="B335" s="287">
        <f t="shared" si="32"/>
        <v>2021.5833223000145</v>
      </c>
      <c r="C335" s="288">
        <v>44378</v>
      </c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93">
        <f t="shared" si="33"/>
        <v>1064278.3337999999</v>
      </c>
      <c r="P335" s="285"/>
    </row>
    <row r="336" spans="2:18" x14ac:dyDescent="0.25">
      <c r="B336" s="287">
        <f t="shared" si="32"/>
        <v>2021.6666556000146</v>
      </c>
      <c r="C336" s="288">
        <v>44409</v>
      </c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93">
        <f t="shared" si="33"/>
        <v>1064278.3337999999</v>
      </c>
      <c r="P336" s="285"/>
    </row>
    <row r="337" spans="2:16" x14ac:dyDescent="0.25">
      <c r="B337" s="287">
        <f t="shared" si="32"/>
        <v>2021.7499889000146</v>
      </c>
      <c r="C337" s="288">
        <v>44440</v>
      </c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93">
        <f t="shared" si="33"/>
        <v>1064278.3337999999</v>
      </c>
      <c r="P337" s="285"/>
    </row>
    <row r="338" spans="2:16" x14ac:dyDescent="0.25">
      <c r="B338" s="287">
        <f t="shared" si="32"/>
        <v>2021.8333222000147</v>
      </c>
      <c r="C338" s="288">
        <v>44470</v>
      </c>
      <c r="D338" s="285"/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93">
        <f t="shared" si="33"/>
        <v>1064278.3337999999</v>
      </c>
      <c r="P338" s="285"/>
    </row>
    <row r="339" spans="2:16" x14ac:dyDescent="0.25">
      <c r="B339" s="287">
        <f t="shared" si="32"/>
        <v>2021.9166555000147</v>
      </c>
      <c r="C339" s="288">
        <v>44501</v>
      </c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93">
        <f t="shared" si="33"/>
        <v>1064278.3337999999</v>
      </c>
      <c r="P339" s="285"/>
    </row>
    <row r="340" spans="2:16" x14ac:dyDescent="0.25">
      <c r="B340" s="287">
        <f t="shared" si="32"/>
        <v>2021.9999888000148</v>
      </c>
      <c r="C340" s="288">
        <v>44531</v>
      </c>
      <c r="D340" s="285"/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93">
        <f t="shared" si="33"/>
        <v>1064278.3337999999</v>
      </c>
      <c r="P340" s="285"/>
    </row>
    <row r="341" spans="2:16" x14ac:dyDescent="0.25">
      <c r="B341"/>
      <c r="D341"/>
      <c r="E341" s="20"/>
      <c r="F341" s="20"/>
    </row>
    <row r="342" spans="2:16" x14ac:dyDescent="0.25">
      <c r="B342"/>
      <c r="D342"/>
      <c r="E342" s="20"/>
      <c r="F342" s="20"/>
    </row>
    <row r="343" spans="2:16" x14ac:dyDescent="0.25">
      <c r="B343"/>
      <c r="D343"/>
      <c r="E343" s="20"/>
      <c r="F343" s="20"/>
    </row>
    <row r="344" spans="2:16" x14ac:dyDescent="0.25">
      <c r="B344"/>
      <c r="D344"/>
      <c r="E344" s="20"/>
      <c r="F344" s="20"/>
    </row>
    <row r="345" spans="2:16" x14ac:dyDescent="0.25">
      <c r="B345"/>
      <c r="D345"/>
      <c r="E345" s="20"/>
      <c r="F345" s="20"/>
    </row>
    <row r="346" spans="2:16" x14ac:dyDescent="0.25">
      <c r="B346"/>
      <c r="D346"/>
      <c r="E346" s="20"/>
      <c r="F346" s="20"/>
    </row>
    <row r="347" spans="2:16" x14ac:dyDescent="0.25">
      <c r="B347"/>
      <c r="D347"/>
      <c r="E347" s="20"/>
      <c r="F347" s="20"/>
    </row>
    <row r="348" spans="2:16" x14ac:dyDescent="0.25">
      <c r="B348"/>
      <c r="D348"/>
      <c r="E348" s="20"/>
      <c r="F348" s="20"/>
    </row>
    <row r="349" spans="2:16" x14ac:dyDescent="0.25">
      <c r="B349"/>
      <c r="D349"/>
      <c r="E349" s="20"/>
      <c r="F349" s="20"/>
    </row>
    <row r="350" spans="2:16" x14ac:dyDescent="0.25">
      <c r="B350"/>
      <c r="D350"/>
      <c r="E350" s="20"/>
      <c r="F350" s="20"/>
    </row>
    <row r="351" spans="2:16" x14ac:dyDescent="0.25">
      <c r="B351"/>
      <c r="D351"/>
      <c r="E351" s="20"/>
      <c r="F351" s="20"/>
    </row>
    <row r="352" spans="2:16" x14ac:dyDescent="0.25">
      <c r="B352"/>
      <c r="D352"/>
      <c r="E352" s="20"/>
      <c r="F352" s="20"/>
    </row>
    <row r="353" spans="2:6" x14ac:dyDescent="0.25">
      <c r="B353"/>
      <c r="D353"/>
      <c r="E353" s="20"/>
      <c r="F353" s="20"/>
    </row>
    <row r="354" spans="2:6" x14ac:dyDescent="0.25">
      <c r="B354"/>
      <c r="D354"/>
      <c r="E354" s="20"/>
      <c r="F354" s="20"/>
    </row>
    <row r="355" spans="2:6" x14ac:dyDescent="0.25">
      <c r="B355"/>
      <c r="D355"/>
      <c r="E355" s="20"/>
      <c r="F355" s="20"/>
    </row>
    <row r="356" spans="2:6" x14ac:dyDescent="0.25">
      <c r="B356"/>
      <c r="D356"/>
      <c r="E356" s="20"/>
      <c r="F356" s="20"/>
    </row>
    <row r="357" spans="2:6" x14ac:dyDescent="0.25">
      <c r="B357"/>
      <c r="D357"/>
      <c r="E357" s="20"/>
      <c r="F357" s="20"/>
    </row>
    <row r="358" spans="2:6" x14ac:dyDescent="0.25">
      <c r="B358"/>
      <c r="D358"/>
      <c r="E358" s="20"/>
      <c r="F358" s="20"/>
    </row>
    <row r="359" spans="2:6" x14ac:dyDescent="0.25">
      <c r="B359"/>
      <c r="D359"/>
      <c r="E359" s="20"/>
      <c r="F359" s="20"/>
    </row>
    <row r="360" spans="2:6" x14ac:dyDescent="0.25">
      <c r="B360"/>
      <c r="D360"/>
      <c r="E360" s="20"/>
      <c r="F360" s="20"/>
    </row>
    <row r="361" spans="2:6" x14ac:dyDescent="0.25">
      <c r="B361"/>
      <c r="D361"/>
      <c r="E361" s="20"/>
      <c r="F361" s="20"/>
    </row>
    <row r="362" spans="2:6" x14ac:dyDescent="0.25">
      <c r="B362"/>
      <c r="D362"/>
      <c r="E362" s="20"/>
      <c r="F362" s="20"/>
    </row>
    <row r="363" spans="2:6" x14ac:dyDescent="0.25">
      <c r="B363"/>
      <c r="D363"/>
      <c r="E363" s="20"/>
      <c r="F363" s="20"/>
    </row>
    <row r="364" spans="2:6" x14ac:dyDescent="0.25">
      <c r="B364"/>
      <c r="D364"/>
      <c r="E364" s="20"/>
      <c r="F364" s="20"/>
    </row>
    <row r="365" spans="2:6" x14ac:dyDescent="0.25">
      <c r="B365"/>
      <c r="D365"/>
      <c r="E365" s="20"/>
      <c r="F365" s="20"/>
    </row>
    <row r="366" spans="2:6" x14ac:dyDescent="0.25">
      <c r="B366"/>
      <c r="D366"/>
      <c r="E366" s="20"/>
      <c r="F366" s="20"/>
    </row>
    <row r="367" spans="2:6" x14ac:dyDescent="0.25">
      <c r="B367"/>
      <c r="D367"/>
      <c r="E367" s="20"/>
      <c r="F367" s="20"/>
    </row>
    <row r="368" spans="2:6" x14ac:dyDescent="0.25">
      <c r="B368"/>
      <c r="D368"/>
      <c r="E368" s="20"/>
      <c r="F368" s="20"/>
    </row>
    <row r="369" spans="2:6" x14ac:dyDescent="0.25">
      <c r="B369"/>
      <c r="D369"/>
      <c r="E369" s="20"/>
      <c r="F369" s="20"/>
    </row>
    <row r="370" spans="2:6" x14ac:dyDescent="0.25">
      <c r="B370"/>
      <c r="D370"/>
      <c r="E370" s="20"/>
      <c r="F370" s="20"/>
    </row>
    <row r="371" spans="2:6" x14ac:dyDescent="0.25">
      <c r="B371"/>
      <c r="D371"/>
      <c r="E371" s="20"/>
      <c r="F371" s="20"/>
    </row>
    <row r="372" spans="2:6" x14ac:dyDescent="0.25">
      <c r="B372"/>
      <c r="D372"/>
      <c r="E372" s="20"/>
      <c r="F372" s="20"/>
    </row>
    <row r="373" spans="2:6" x14ac:dyDescent="0.25">
      <c r="B373"/>
      <c r="D373"/>
      <c r="E373" s="20"/>
      <c r="F373" s="20"/>
    </row>
    <row r="374" spans="2:6" x14ac:dyDescent="0.25">
      <c r="B374"/>
      <c r="D374"/>
      <c r="E374" s="20"/>
      <c r="F374" s="20"/>
    </row>
    <row r="375" spans="2:6" x14ac:dyDescent="0.25">
      <c r="B375"/>
      <c r="D375"/>
      <c r="E375" s="20"/>
      <c r="F375" s="20"/>
    </row>
    <row r="376" spans="2:6" x14ac:dyDescent="0.25">
      <c r="B376"/>
      <c r="D376"/>
      <c r="E376" s="20"/>
      <c r="F376" s="20"/>
    </row>
    <row r="377" spans="2:6" x14ac:dyDescent="0.25">
      <c r="B377"/>
      <c r="D377"/>
      <c r="E377" s="20"/>
      <c r="F377" s="20"/>
    </row>
    <row r="378" spans="2:6" x14ac:dyDescent="0.25">
      <c r="B378"/>
      <c r="D378"/>
      <c r="E378" s="20"/>
      <c r="F378" s="20"/>
    </row>
    <row r="379" spans="2:6" x14ac:dyDescent="0.25">
      <c r="B379"/>
      <c r="D379"/>
      <c r="E379" s="20"/>
      <c r="F379" s="20"/>
    </row>
    <row r="380" spans="2:6" x14ac:dyDescent="0.25">
      <c r="B380"/>
      <c r="D380"/>
      <c r="E380" s="20"/>
      <c r="F380" s="20"/>
    </row>
    <row r="381" spans="2:6" x14ac:dyDescent="0.25">
      <c r="B381"/>
      <c r="D381"/>
      <c r="E381" s="20"/>
      <c r="F381" s="20"/>
    </row>
    <row r="382" spans="2:6" x14ac:dyDescent="0.25">
      <c r="B382"/>
      <c r="D382"/>
      <c r="E382" s="20"/>
      <c r="F382" s="20"/>
    </row>
    <row r="383" spans="2:6" x14ac:dyDescent="0.25">
      <c r="B383"/>
      <c r="D383"/>
      <c r="E383" s="20"/>
      <c r="F383" s="20"/>
    </row>
    <row r="384" spans="2:6" x14ac:dyDescent="0.25">
      <c r="B384"/>
      <c r="D384"/>
      <c r="E384" s="20"/>
      <c r="F384" s="20"/>
    </row>
    <row r="385" spans="2:6" x14ac:dyDescent="0.25">
      <c r="B385"/>
      <c r="D385"/>
      <c r="E385" s="20"/>
      <c r="F385" s="20"/>
    </row>
    <row r="386" spans="2:6" x14ac:dyDescent="0.25">
      <c r="B386"/>
      <c r="D386"/>
      <c r="E386" s="20"/>
      <c r="F386" s="20"/>
    </row>
    <row r="387" spans="2:6" x14ac:dyDescent="0.25">
      <c r="B387"/>
      <c r="D387"/>
      <c r="E387" s="20"/>
      <c r="F387" s="20"/>
    </row>
    <row r="388" spans="2:6" x14ac:dyDescent="0.25">
      <c r="B388"/>
      <c r="D388"/>
      <c r="E388" s="20"/>
      <c r="F388" s="20"/>
    </row>
    <row r="389" spans="2:6" x14ac:dyDescent="0.25">
      <c r="B389"/>
      <c r="D389"/>
      <c r="E389" s="20"/>
      <c r="F389" s="20"/>
    </row>
    <row r="390" spans="2:6" x14ac:dyDescent="0.25">
      <c r="B390"/>
      <c r="D390"/>
      <c r="E390" s="20"/>
      <c r="F390" s="20"/>
    </row>
    <row r="391" spans="2:6" x14ac:dyDescent="0.25">
      <c r="B391"/>
      <c r="D391"/>
      <c r="E391" s="20"/>
      <c r="F391" s="20"/>
    </row>
    <row r="392" spans="2:6" x14ac:dyDescent="0.25">
      <c r="B392"/>
      <c r="D392"/>
      <c r="E392" s="20"/>
      <c r="F392" s="20"/>
    </row>
    <row r="393" spans="2:6" x14ac:dyDescent="0.25">
      <c r="B393"/>
      <c r="D393"/>
      <c r="E393" s="20"/>
      <c r="F393" s="20"/>
    </row>
    <row r="394" spans="2:6" x14ac:dyDescent="0.25">
      <c r="B394"/>
      <c r="D394"/>
      <c r="E394" s="20"/>
      <c r="F394" s="20"/>
    </row>
    <row r="395" spans="2:6" x14ac:dyDescent="0.25">
      <c r="B395"/>
      <c r="D395"/>
      <c r="E395" s="20"/>
      <c r="F395" s="20"/>
    </row>
    <row r="396" spans="2:6" x14ac:dyDescent="0.25">
      <c r="B396"/>
      <c r="D396"/>
      <c r="E396" s="20"/>
      <c r="F396" s="20"/>
    </row>
    <row r="397" spans="2:6" x14ac:dyDescent="0.25">
      <c r="B397"/>
      <c r="D397"/>
      <c r="E397" s="20"/>
      <c r="F397" s="20"/>
    </row>
    <row r="398" spans="2:6" x14ac:dyDescent="0.25">
      <c r="B398"/>
      <c r="D398"/>
      <c r="E398" s="20"/>
      <c r="F398" s="20"/>
    </row>
    <row r="399" spans="2:6" x14ac:dyDescent="0.25">
      <c r="B399"/>
      <c r="D399"/>
      <c r="E399" s="20"/>
      <c r="F399" s="20"/>
    </row>
    <row r="400" spans="2:6" x14ac:dyDescent="0.25">
      <c r="B400"/>
      <c r="D400"/>
      <c r="E400" s="20"/>
      <c r="F400" s="20"/>
    </row>
    <row r="401" spans="2:6" x14ac:dyDescent="0.25">
      <c r="B401"/>
      <c r="D401"/>
      <c r="E401" s="20"/>
      <c r="F401" s="20"/>
    </row>
    <row r="402" spans="2:6" x14ac:dyDescent="0.25">
      <c r="B402"/>
      <c r="D402"/>
      <c r="E402" s="20"/>
      <c r="F402" s="20"/>
    </row>
    <row r="403" spans="2:6" x14ac:dyDescent="0.25">
      <c r="B403"/>
      <c r="D403"/>
      <c r="E403" s="20"/>
      <c r="F403" s="20"/>
    </row>
    <row r="404" spans="2:6" x14ac:dyDescent="0.25">
      <c r="B404"/>
      <c r="D404"/>
      <c r="E404" s="20"/>
      <c r="F404" s="20"/>
    </row>
    <row r="405" spans="2:6" x14ac:dyDescent="0.25">
      <c r="B405"/>
      <c r="D405"/>
      <c r="E405" s="20"/>
      <c r="F405" s="20"/>
    </row>
    <row r="406" spans="2:6" x14ac:dyDescent="0.25">
      <c r="B406"/>
      <c r="D406"/>
      <c r="E406" s="20"/>
      <c r="F406" s="20"/>
    </row>
    <row r="407" spans="2:6" x14ac:dyDescent="0.25">
      <c r="B407"/>
      <c r="D407"/>
      <c r="E407" s="20"/>
      <c r="F407" s="20"/>
    </row>
    <row r="408" spans="2:6" x14ac:dyDescent="0.25">
      <c r="B408"/>
      <c r="D408"/>
      <c r="E408" s="20"/>
      <c r="F408" s="20"/>
    </row>
    <row r="409" spans="2:6" x14ac:dyDescent="0.25">
      <c r="B409"/>
      <c r="D409"/>
      <c r="E409" s="20"/>
      <c r="F409" s="20"/>
    </row>
    <row r="410" spans="2:6" x14ac:dyDescent="0.25">
      <c r="B410"/>
      <c r="D410"/>
      <c r="E410" s="20"/>
      <c r="F410" s="20"/>
    </row>
    <row r="411" spans="2:6" x14ac:dyDescent="0.25">
      <c r="B411"/>
      <c r="D411"/>
      <c r="E411" s="20"/>
      <c r="F411" s="20"/>
    </row>
    <row r="412" spans="2:6" x14ac:dyDescent="0.25">
      <c r="B412"/>
      <c r="D412"/>
      <c r="E412" s="20"/>
      <c r="F412" s="20"/>
    </row>
    <row r="413" spans="2:6" x14ac:dyDescent="0.25">
      <c r="B413"/>
      <c r="D413"/>
      <c r="E413" s="20"/>
      <c r="F413" s="20"/>
    </row>
    <row r="414" spans="2:6" x14ac:dyDescent="0.25">
      <c r="B414"/>
      <c r="D414"/>
      <c r="E414" s="20"/>
      <c r="F414" s="20"/>
    </row>
    <row r="415" spans="2:6" x14ac:dyDescent="0.25">
      <c r="B415"/>
      <c r="D415"/>
      <c r="E415" s="20"/>
      <c r="F415" s="20"/>
    </row>
    <row r="416" spans="2:6" x14ac:dyDescent="0.25">
      <c r="B416"/>
      <c r="D416"/>
      <c r="E416" s="20"/>
      <c r="F416" s="20"/>
    </row>
    <row r="417" spans="2:6" x14ac:dyDescent="0.25">
      <c r="B417"/>
      <c r="D417"/>
      <c r="E417" s="20"/>
      <c r="F417" s="20"/>
    </row>
    <row r="418" spans="2:6" x14ac:dyDescent="0.25">
      <c r="B418"/>
      <c r="D418"/>
      <c r="E418" s="20"/>
      <c r="F418" s="20"/>
    </row>
    <row r="419" spans="2:6" x14ac:dyDescent="0.25">
      <c r="B419"/>
      <c r="D419"/>
      <c r="E419" s="20"/>
      <c r="F419" s="20"/>
    </row>
    <row r="420" spans="2:6" x14ac:dyDescent="0.25">
      <c r="B420"/>
      <c r="D420"/>
      <c r="E420" s="20"/>
      <c r="F420" s="20"/>
    </row>
    <row r="421" spans="2:6" x14ac:dyDescent="0.25">
      <c r="B421"/>
      <c r="D421"/>
      <c r="E421" s="20"/>
      <c r="F421" s="20"/>
    </row>
    <row r="422" spans="2:6" x14ac:dyDescent="0.25">
      <c r="B422"/>
      <c r="D422"/>
      <c r="E422" s="20"/>
      <c r="F422" s="20"/>
    </row>
    <row r="423" spans="2:6" x14ac:dyDescent="0.25">
      <c r="B423"/>
      <c r="D423"/>
      <c r="E423" s="20"/>
      <c r="F423" s="20"/>
    </row>
    <row r="424" spans="2:6" x14ac:dyDescent="0.25">
      <c r="B424"/>
      <c r="D424"/>
      <c r="E424" s="20"/>
      <c r="F424" s="20"/>
    </row>
    <row r="425" spans="2:6" x14ac:dyDescent="0.25">
      <c r="B425"/>
      <c r="D425"/>
      <c r="E425" s="20"/>
      <c r="F425" s="20"/>
    </row>
    <row r="426" spans="2:6" x14ac:dyDescent="0.25">
      <c r="B426"/>
      <c r="D426"/>
      <c r="E426" s="20"/>
      <c r="F426" s="20"/>
    </row>
    <row r="427" spans="2:6" x14ac:dyDescent="0.25">
      <c r="B427"/>
      <c r="D427"/>
      <c r="E427" s="20"/>
      <c r="F427" s="20"/>
    </row>
    <row r="428" spans="2:6" x14ac:dyDescent="0.25">
      <c r="B428"/>
      <c r="D428"/>
      <c r="E428" s="20"/>
      <c r="F428" s="20"/>
    </row>
    <row r="429" spans="2:6" x14ac:dyDescent="0.25">
      <c r="B429"/>
      <c r="D429"/>
      <c r="E429" s="20"/>
      <c r="F429" s="20"/>
    </row>
    <row r="430" spans="2:6" x14ac:dyDescent="0.25">
      <c r="B430"/>
      <c r="D430"/>
      <c r="E430" s="20"/>
      <c r="F430" s="20"/>
    </row>
    <row r="431" spans="2:6" x14ac:dyDescent="0.25">
      <c r="B431"/>
      <c r="D431"/>
      <c r="E431" s="20"/>
      <c r="F431" s="20"/>
    </row>
    <row r="432" spans="2:6" x14ac:dyDescent="0.25">
      <c r="B432"/>
      <c r="D432"/>
      <c r="E432" s="20"/>
      <c r="F432" s="20"/>
    </row>
    <row r="433" spans="2:6" x14ac:dyDescent="0.25">
      <c r="B433"/>
      <c r="D433"/>
      <c r="E433" s="20"/>
      <c r="F433" s="20"/>
    </row>
    <row r="434" spans="2:6" x14ac:dyDescent="0.25">
      <c r="B434"/>
      <c r="D434"/>
      <c r="E434" s="20"/>
      <c r="F434" s="20"/>
    </row>
    <row r="435" spans="2:6" x14ac:dyDescent="0.25">
      <c r="B435"/>
      <c r="D435"/>
      <c r="E435" s="20"/>
      <c r="F435" s="20"/>
    </row>
    <row r="436" spans="2:6" x14ac:dyDescent="0.25">
      <c r="B436"/>
      <c r="D436"/>
      <c r="E436" s="20"/>
      <c r="F436" s="20"/>
    </row>
    <row r="437" spans="2:6" x14ac:dyDescent="0.25">
      <c r="B437"/>
      <c r="D437"/>
      <c r="E437" s="20"/>
      <c r="F437" s="20"/>
    </row>
    <row r="438" spans="2:6" x14ac:dyDescent="0.25">
      <c r="B438"/>
      <c r="D438"/>
      <c r="E438" s="20"/>
      <c r="F438" s="20"/>
    </row>
    <row r="439" spans="2:6" x14ac:dyDescent="0.25">
      <c r="B439"/>
      <c r="D439"/>
      <c r="E439" s="20"/>
      <c r="F439" s="20"/>
    </row>
    <row r="440" spans="2:6" x14ac:dyDescent="0.25">
      <c r="B440"/>
      <c r="D440"/>
      <c r="E440" s="20"/>
      <c r="F440" s="20"/>
    </row>
    <row r="441" spans="2:6" x14ac:dyDescent="0.25">
      <c r="B441"/>
      <c r="D441"/>
      <c r="E441" s="20"/>
      <c r="F441" s="20"/>
    </row>
    <row r="442" spans="2:6" x14ac:dyDescent="0.25">
      <c r="B442"/>
      <c r="D442"/>
      <c r="E442" s="20"/>
      <c r="F442" s="20"/>
    </row>
    <row r="443" spans="2:6" x14ac:dyDescent="0.25">
      <c r="B443"/>
      <c r="D443"/>
      <c r="E443" s="20"/>
      <c r="F443" s="20"/>
    </row>
    <row r="444" spans="2:6" x14ac:dyDescent="0.25">
      <c r="B444"/>
      <c r="D444"/>
      <c r="E444" s="20"/>
      <c r="F444" s="20"/>
    </row>
    <row r="445" spans="2:6" x14ac:dyDescent="0.25">
      <c r="B445"/>
      <c r="D445"/>
      <c r="E445" s="20"/>
      <c r="F445" s="20"/>
    </row>
    <row r="446" spans="2:6" x14ac:dyDescent="0.25">
      <c r="B446"/>
      <c r="D446"/>
      <c r="E446" s="20"/>
      <c r="F446" s="20"/>
    </row>
    <row r="447" spans="2:6" x14ac:dyDescent="0.25">
      <c r="B447"/>
      <c r="D447"/>
      <c r="E447" s="20"/>
      <c r="F447" s="20"/>
    </row>
    <row r="448" spans="2:6" x14ac:dyDescent="0.25">
      <c r="B448"/>
      <c r="D448"/>
      <c r="E448" s="20"/>
      <c r="F448" s="20"/>
    </row>
    <row r="449" spans="2:6" x14ac:dyDescent="0.25">
      <c r="B449"/>
      <c r="D449"/>
      <c r="E449" s="20"/>
      <c r="F449" s="20"/>
    </row>
    <row r="450" spans="2:6" x14ac:dyDescent="0.25">
      <c r="B450"/>
      <c r="D450"/>
      <c r="E450" s="20"/>
      <c r="F450" s="20"/>
    </row>
    <row r="451" spans="2:6" x14ac:dyDescent="0.25">
      <c r="B451"/>
      <c r="D451"/>
      <c r="E451" s="20"/>
      <c r="F451" s="20"/>
    </row>
    <row r="452" spans="2:6" x14ac:dyDescent="0.25">
      <c r="B452"/>
      <c r="D452"/>
      <c r="E452" s="20"/>
      <c r="F452" s="20"/>
    </row>
    <row r="453" spans="2:6" x14ac:dyDescent="0.25">
      <c r="B453"/>
      <c r="D453"/>
      <c r="E453" s="20"/>
      <c r="F453" s="20"/>
    </row>
    <row r="454" spans="2:6" x14ac:dyDescent="0.25">
      <c r="B454"/>
      <c r="D454"/>
      <c r="E454" s="20"/>
      <c r="F454" s="20"/>
    </row>
    <row r="455" spans="2:6" x14ac:dyDescent="0.25">
      <c r="B455"/>
      <c r="D455"/>
      <c r="E455" s="20"/>
      <c r="F455" s="20"/>
    </row>
    <row r="456" spans="2:6" x14ac:dyDescent="0.25">
      <c r="B456"/>
      <c r="D456"/>
      <c r="E456" s="20"/>
      <c r="F456" s="20"/>
    </row>
    <row r="457" spans="2:6" x14ac:dyDescent="0.25">
      <c r="B457"/>
      <c r="D457"/>
      <c r="E457" s="20"/>
      <c r="F457" s="20"/>
    </row>
    <row r="458" spans="2:6" x14ac:dyDescent="0.25">
      <c r="B458"/>
      <c r="D458"/>
      <c r="E458" s="20"/>
      <c r="F458" s="20"/>
    </row>
    <row r="459" spans="2:6" x14ac:dyDescent="0.25">
      <c r="B459"/>
      <c r="D459"/>
      <c r="E459" s="20"/>
      <c r="F459" s="20"/>
    </row>
    <row r="460" spans="2:6" x14ac:dyDescent="0.25">
      <c r="B460"/>
      <c r="D460"/>
      <c r="E460" s="20"/>
      <c r="F460" s="20"/>
    </row>
    <row r="461" spans="2:6" x14ac:dyDescent="0.25">
      <c r="B461"/>
      <c r="D461"/>
      <c r="E461" s="20"/>
      <c r="F461" s="20"/>
    </row>
    <row r="462" spans="2:6" x14ac:dyDescent="0.25">
      <c r="B462"/>
      <c r="D462"/>
      <c r="E462" s="20"/>
      <c r="F462" s="20"/>
    </row>
    <row r="463" spans="2:6" x14ac:dyDescent="0.25">
      <c r="B463"/>
      <c r="D463"/>
      <c r="E463" s="20"/>
      <c r="F463" s="20"/>
    </row>
    <row r="464" spans="2:6" x14ac:dyDescent="0.25">
      <c r="B464"/>
      <c r="D464"/>
      <c r="E464" s="20"/>
      <c r="F464" s="20"/>
    </row>
    <row r="465" spans="2:6" x14ac:dyDescent="0.25">
      <c r="B465"/>
      <c r="D465"/>
      <c r="E465" s="20"/>
      <c r="F465" s="20"/>
    </row>
    <row r="466" spans="2:6" x14ac:dyDescent="0.25">
      <c r="B466"/>
      <c r="D466"/>
      <c r="E466" s="20"/>
      <c r="F466" s="20"/>
    </row>
    <row r="467" spans="2:6" x14ac:dyDescent="0.25">
      <c r="B467"/>
      <c r="D467"/>
      <c r="E467" s="20"/>
      <c r="F467" s="20"/>
    </row>
    <row r="468" spans="2:6" x14ac:dyDescent="0.25">
      <c r="B468"/>
      <c r="D468"/>
      <c r="E468" s="20"/>
      <c r="F468" s="20"/>
    </row>
    <row r="469" spans="2:6" x14ac:dyDescent="0.25">
      <c r="B469"/>
      <c r="D469"/>
      <c r="E469" s="20"/>
      <c r="F469" s="20"/>
    </row>
    <row r="470" spans="2:6" x14ac:dyDescent="0.25">
      <c r="B470"/>
      <c r="D470"/>
      <c r="E470" s="20"/>
      <c r="F470" s="20"/>
    </row>
    <row r="471" spans="2:6" x14ac:dyDescent="0.25">
      <c r="B471"/>
      <c r="D471"/>
      <c r="E471" s="20"/>
      <c r="F471" s="20"/>
    </row>
    <row r="472" spans="2:6" x14ac:dyDescent="0.25">
      <c r="B472"/>
      <c r="D472"/>
      <c r="E472" s="20"/>
      <c r="F472" s="20"/>
    </row>
    <row r="473" spans="2:6" x14ac:dyDescent="0.25">
      <c r="B473"/>
      <c r="D473"/>
      <c r="E473" s="20"/>
      <c r="F473" s="20"/>
    </row>
    <row r="474" spans="2:6" x14ac:dyDescent="0.25">
      <c r="B474"/>
      <c r="D474"/>
      <c r="E474" s="20"/>
      <c r="F474" s="20"/>
    </row>
    <row r="475" spans="2:6" x14ac:dyDescent="0.25">
      <c r="B475"/>
      <c r="D475"/>
      <c r="E475" s="20"/>
      <c r="F475" s="20"/>
    </row>
    <row r="476" spans="2:6" x14ac:dyDescent="0.25">
      <c r="B476"/>
      <c r="D476"/>
      <c r="E476" s="20"/>
      <c r="F476" s="20"/>
    </row>
    <row r="477" spans="2:6" x14ac:dyDescent="0.25">
      <c r="B477"/>
      <c r="D477"/>
      <c r="E477" s="20"/>
      <c r="F477" s="20"/>
    </row>
    <row r="478" spans="2:6" x14ac:dyDescent="0.25">
      <c r="B478"/>
      <c r="D478"/>
      <c r="E478" s="20"/>
      <c r="F478" s="20"/>
    </row>
    <row r="479" spans="2:6" x14ac:dyDescent="0.25">
      <c r="B479"/>
      <c r="D479"/>
      <c r="E479" s="20"/>
      <c r="F479" s="20"/>
    </row>
    <row r="480" spans="2:6" x14ac:dyDescent="0.25">
      <c r="B480"/>
      <c r="D480"/>
      <c r="E480" s="20"/>
      <c r="F480" s="20"/>
    </row>
    <row r="481" spans="2:6" x14ac:dyDescent="0.25">
      <c r="B481"/>
      <c r="D481"/>
      <c r="E481" s="20"/>
      <c r="F481" s="20"/>
    </row>
    <row r="482" spans="2:6" x14ac:dyDescent="0.25">
      <c r="B482"/>
      <c r="D482"/>
      <c r="E482" s="20"/>
      <c r="F482" s="20"/>
    </row>
    <row r="483" spans="2:6" x14ac:dyDescent="0.25">
      <c r="B483"/>
      <c r="D483"/>
      <c r="E483" s="20"/>
      <c r="F483" s="20"/>
    </row>
    <row r="484" spans="2:6" x14ac:dyDescent="0.25">
      <c r="B484"/>
      <c r="D484"/>
      <c r="E484" s="20"/>
      <c r="F484" s="20"/>
    </row>
    <row r="485" spans="2:6" x14ac:dyDescent="0.25">
      <c r="B485"/>
      <c r="D485"/>
      <c r="E485" s="20"/>
      <c r="F485" s="20"/>
    </row>
    <row r="486" spans="2:6" x14ac:dyDescent="0.25">
      <c r="B486"/>
      <c r="D486"/>
      <c r="E486" s="20"/>
      <c r="F486" s="20"/>
    </row>
    <row r="487" spans="2:6" x14ac:dyDescent="0.25">
      <c r="B487"/>
      <c r="D487"/>
      <c r="E487" s="20"/>
      <c r="F487" s="20"/>
    </row>
    <row r="488" spans="2:6" x14ac:dyDescent="0.25">
      <c r="B488"/>
      <c r="D488"/>
      <c r="E488" s="20"/>
      <c r="F488" s="20"/>
    </row>
    <row r="489" spans="2:6" x14ac:dyDescent="0.25">
      <c r="B489"/>
      <c r="D489"/>
      <c r="E489" s="20"/>
      <c r="F489" s="20"/>
    </row>
    <row r="490" spans="2:6" x14ac:dyDescent="0.25">
      <c r="B490"/>
      <c r="D490"/>
      <c r="E490" s="20"/>
      <c r="F490" s="20"/>
    </row>
    <row r="491" spans="2:6" x14ac:dyDescent="0.25">
      <c r="B491"/>
      <c r="D491"/>
      <c r="E491" s="20"/>
      <c r="F491" s="20"/>
    </row>
    <row r="492" spans="2:6" x14ac:dyDescent="0.25">
      <c r="B492"/>
      <c r="D492"/>
      <c r="E492" s="20"/>
      <c r="F492" s="20"/>
    </row>
    <row r="493" spans="2:6" x14ac:dyDescent="0.25">
      <c r="B493"/>
      <c r="D493"/>
      <c r="E493" s="20"/>
      <c r="F493" s="20"/>
    </row>
    <row r="494" spans="2:6" x14ac:dyDescent="0.25">
      <c r="B494"/>
      <c r="D494"/>
      <c r="E494" s="20"/>
      <c r="F494" s="20"/>
    </row>
    <row r="495" spans="2:6" x14ac:dyDescent="0.25">
      <c r="B495"/>
      <c r="D495"/>
      <c r="E495" s="20"/>
      <c r="F495" s="20"/>
    </row>
    <row r="496" spans="2:6" x14ac:dyDescent="0.25">
      <c r="B496"/>
      <c r="D496"/>
      <c r="E496" s="20"/>
      <c r="F496" s="20"/>
    </row>
    <row r="497" spans="2:6" x14ac:dyDescent="0.25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499984740745262"/>
    <pageSetUpPr fitToPage="1"/>
  </sheetPr>
  <dimension ref="A2:O110"/>
  <sheetViews>
    <sheetView tabSelected="1" zoomScale="85" zoomScaleNormal="85" workbookViewId="0">
      <selection activeCell="P34" sqref="P34"/>
    </sheetView>
  </sheetViews>
  <sheetFormatPr baseColWidth="10" defaultColWidth="11.44140625" defaultRowHeight="13.8" x14ac:dyDescent="0.3"/>
  <cols>
    <col min="1" max="1" width="5.5546875" style="230" customWidth="1"/>
    <col min="2" max="2" width="7" style="230" customWidth="1"/>
    <col min="3" max="3" width="9" style="230" customWidth="1"/>
    <col min="4" max="4" width="11.44140625" style="230"/>
    <col min="5" max="5" width="9.5546875" style="230" customWidth="1"/>
    <col min="6" max="6" width="9.88671875" style="230" bestFit="1" customWidth="1"/>
    <col min="7" max="7" width="8.109375" style="230" customWidth="1"/>
    <col min="8" max="8" width="11.44140625" style="230"/>
    <col min="9" max="9" width="7.33203125" style="230" bestFit="1" customWidth="1"/>
    <col min="10" max="10" width="12.33203125" style="230" bestFit="1" customWidth="1"/>
    <col min="11" max="11" width="8.88671875" style="230" customWidth="1"/>
    <col min="12" max="12" width="10.109375" style="230" customWidth="1"/>
    <col min="13" max="13" width="4.44140625" style="230" customWidth="1"/>
    <col min="14" max="14" width="12.44140625" style="230" bestFit="1" customWidth="1"/>
    <col min="15" max="15" width="11.44140625" style="230"/>
    <col min="16" max="16" width="13.5546875" style="230" customWidth="1"/>
    <col min="17" max="16384" width="11.44140625" style="230"/>
  </cols>
  <sheetData>
    <row r="2" spans="1:15" ht="20.25" customHeight="1" x14ac:dyDescent="0.35">
      <c r="B2" s="315" t="s">
        <v>68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231"/>
    </row>
    <row r="3" spans="1:15" ht="15.75" customHeight="1" x14ac:dyDescent="0.3">
      <c r="A3" s="232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5" x14ac:dyDescent="0.3">
      <c r="N4" s="230" t="s">
        <v>49</v>
      </c>
    </row>
    <row r="5" spans="1:15" x14ac:dyDescent="0.3">
      <c r="N5" s="233"/>
      <c r="O5" s="233"/>
    </row>
    <row r="17" spans="3:14" x14ac:dyDescent="0.3">
      <c r="N17" s="230" t="s">
        <v>57</v>
      </c>
    </row>
    <row r="31" spans="3:14" ht="18" customHeight="1" x14ac:dyDescent="0.3"/>
    <row r="32" spans="3:14" ht="15.6" x14ac:dyDescent="0.3">
      <c r="C32" s="234" t="s">
        <v>48</v>
      </c>
    </row>
    <row r="33" spans="2:13" ht="16.5" customHeight="1" x14ac:dyDescent="0.3">
      <c r="C33" s="234" t="s">
        <v>66</v>
      </c>
    </row>
    <row r="34" spans="2:13" ht="57" customHeight="1" x14ac:dyDescent="0.3">
      <c r="C34" s="316" t="s">
        <v>69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2:13" ht="3.75" customHeight="1" x14ac:dyDescent="0.3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 x14ac:dyDescent="0.3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hidden="1" customHeight="1" x14ac:dyDescent="0.3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hidden="1" customHeight="1" x14ac:dyDescent="0.3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hidden="1" customHeight="1" x14ac:dyDescent="0.3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hidden="1" customHeight="1" x14ac:dyDescent="0.3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hidden="1" customHeight="1" x14ac:dyDescent="0.3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hidden="1" customHeight="1" x14ac:dyDescent="0.3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hidden="1" customHeight="1" x14ac:dyDescent="0.3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hidden="1" customHeight="1" x14ac:dyDescent="0.3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hidden="1" customHeight="1" x14ac:dyDescent="0.3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hidden="1" customHeight="1" x14ac:dyDescent="0.3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hidden="1" customHeight="1" x14ac:dyDescent="0.3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hidden="1" customHeight="1" x14ac:dyDescent="0.3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4" ht="3.75" hidden="1" customHeight="1" x14ac:dyDescent="0.3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1:14" ht="10.199999999999999" hidden="1" customHeight="1" x14ac:dyDescent="0.3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4" ht="10.199999999999999" customHeight="1" x14ac:dyDescent="0.3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spans="1:14" x14ac:dyDescent="0.3">
      <c r="N53" s="238"/>
    </row>
    <row r="67" spans="3:14" x14ac:dyDescent="0.3">
      <c r="N67" s="233"/>
    </row>
    <row r="78" spans="3:14" ht="15.6" x14ac:dyDescent="0.3">
      <c r="C78" s="234" t="s">
        <v>61</v>
      </c>
    </row>
    <row r="79" spans="3:14" ht="48.75" customHeight="1" x14ac:dyDescent="0.3">
      <c r="C79" s="311" t="s">
        <v>67</v>
      </c>
      <c r="D79" s="311"/>
      <c r="E79" s="311"/>
      <c r="F79" s="311"/>
      <c r="G79" s="311"/>
      <c r="H79" s="311"/>
      <c r="I79" s="311"/>
      <c r="J79" s="311"/>
      <c r="K79" s="311"/>
      <c r="L79" s="311"/>
      <c r="M79" s="311"/>
    </row>
    <row r="80" spans="3:14" ht="9" customHeight="1" x14ac:dyDescent="0.3"/>
    <row r="81" spans="1:15" ht="44.25" customHeight="1" x14ac:dyDescent="0.3">
      <c r="M81" s="239"/>
      <c r="O81" s="240"/>
    </row>
    <row r="82" spans="1:15" ht="46.5" customHeight="1" x14ac:dyDescent="0.3">
      <c r="B82" s="313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239"/>
      <c r="O82" s="240"/>
    </row>
    <row r="83" spans="1:15" ht="4.5" customHeight="1" x14ac:dyDescent="0.3">
      <c r="A83" s="235"/>
      <c r="B83" s="312" t="s">
        <v>57</v>
      </c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239"/>
    </row>
    <row r="84" spans="1:15" ht="15" customHeight="1" x14ac:dyDescent="0.3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:15" x14ac:dyDescent="0.3">
      <c r="N87" s="240"/>
      <c r="O87" s="241"/>
    </row>
    <row r="110" spans="2:2" x14ac:dyDescent="0.3">
      <c r="B110" s="230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2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2020-06-03T04:33:25Z</cp:lastPrinted>
  <dcterms:created xsi:type="dcterms:W3CDTF">1997-07-01T22:48:52Z</dcterms:created>
  <dcterms:modified xsi:type="dcterms:W3CDTF">2021-05-12T21:38:23Z</dcterms:modified>
</cp:coreProperties>
</file>